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9.xml" ContentType="application/vnd.openxmlformats-officedocument.drawingml.chart+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filterPrivacy="1" defaultThemeVersion="124226"/>
  <bookViews>
    <workbookView xWindow="-15" yWindow="-15" windowWidth="22890" windowHeight="12885" tabRatio="884"/>
  </bookViews>
  <sheets>
    <sheet name="Samenvatting" sheetId="25" r:id="rId1"/>
    <sheet name="Uitgangspunten" sheetId="27" r:id="rId2"/>
    <sheet name="Inleiding" sheetId="11" r:id="rId3"/>
    <sheet name="Lijst maatregelen EA" sheetId="1" r:id="rId4"/>
    <sheet name="Resultaatmatrix" sheetId="9" r:id="rId5"/>
    <sheet name="Resultaatgrafiek" sheetId="19" r:id="rId6"/>
    <sheet name="Vergelijk AlgRek" sheetId="20" r:id="rId7"/>
    <sheet name="%Hernieuwbaar" sheetId="17" r:id="rId8"/>
    <sheet name="Refs" sheetId="15" r:id="rId9"/>
    <sheet name="Wind" sheetId="2" r:id="rId10"/>
    <sheet name=" PV" sheetId="13" r:id="rId11"/>
    <sheet name="Warmte" sheetId="29" r:id="rId12"/>
    <sheet name="Biomassa" sheetId="14" r:id="rId13"/>
    <sheet name="Vervoer" sheetId="8" r:id="rId14"/>
    <sheet name="Energiebesparing" sheetId="31" r:id="rId15"/>
    <sheet name="SDE&amp;MEP tm 2012" sheetId="4" r:id="rId16"/>
    <sheet name="Innovatiesubsidies" sheetId="7" r:id="rId17"/>
    <sheet name="WKK effect" sheetId="32" r:id="rId18"/>
  </sheets>
  <externalReferences>
    <externalReference r:id="rId19"/>
  </externalReferences>
  <definedNames>
    <definedName name="_xlnm.Print_Area" localSheetId="2">Inleiding!$A$1:$D$38</definedName>
    <definedName name="_xlnm.Print_Area" localSheetId="3">'Lijst maatregelen EA'!$A$1:$G$104</definedName>
    <definedName name="_xlnm.Print_Area" localSheetId="5">Resultaatgrafiek!$AR$2:$BG$67</definedName>
    <definedName name="_xlnm.Print_Area" localSheetId="4">Resultaatmatrix!$A$1:$M$91</definedName>
    <definedName name="_xlnm.Print_Area" localSheetId="0">Samenvatting!$B$119:$G$146</definedName>
    <definedName name="_xlnm.Print_Area" localSheetId="1">Uitgangspunten!$A$1:$D$106</definedName>
    <definedName name="Matrix">#REF!</definedName>
    <definedName name="TABLE" localSheetId="4">Resultaatmatrix!#REF!</definedName>
    <definedName name="TABLE_2" localSheetId="4">Resultaatmatrix!#REF!</definedName>
  </definedNames>
  <calcPr calcId="144525"/>
</workbook>
</file>

<file path=xl/calcChain.xml><?xml version="1.0" encoding="utf-8"?>
<calcChain xmlns="http://schemas.openxmlformats.org/spreadsheetml/2006/main">
  <c r="O293" i="19" l="1"/>
  <c r="N293" i="19"/>
  <c r="M293" i="19"/>
  <c r="L293" i="19"/>
  <c r="J293" i="19"/>
  <c r="O71" i="1"/>
  <c r="O94" i="1"/>
  <c r="L53" i="25" l="1"/>
  <c r="N105" i="2" l="1"/>
  <c r="N104" i="2"/>
  <c r="D104" i="2"/>
  <c r="F104" i="2"/>
  <c r="H104" i="2"/>
  <c r="J104" i="2"/>
  <c r="K104" i="2"/>
  <c r="L104" i="2"/>
  <c r="B104" i="2"/>
  <c r="D71" i="2"/>
  <c r="L48" i="14"/>
  <c r="M48" i="14"/>
  <c r="N48" i="14"/>
  <c r="K48" i="14"/>
  <c r="J48" i="14"/>
  <c r="C48" i="14"/>
  <c r="D145" i="29" l="1"/>
  <c r="D142" i="29"/>
  <c r="D139" i="29"/>
  <c r="D140" i="29" s="1"/>
  <c r="D134" i="29"/>
  <c r="D137" i="29"/>
  <c r="D114" i="29"/>
  <c r="D115" i="29"/>
  <c r="D116" i="29"/>
  <c r="D117" i="29"/>
  <c r="D118" i="29"/>
  <c r="D119" i="29"/>
  <c r="D120" i="29"/>
  <c r="D121" i="29"/>
  <c r="D122" i="29"/>
  <c r="D123" i="29"/>
  <c r="D124" i="29"/>
  <c r="D125" i="29"/>
  <c r="D126" i="29"/>
  <c r="D127" i="29"/>
  <c r="D128" i="29"/>
  <c r="D129" i="29"/>
  <c r="D130" i="29"/>
  <c r="D131" i="29"/>
  <c r="D113" i="29"/>
  <c r="C131" i="29"/>
  <c r="E99" i="9" l="1"/>
  <c r="E7" i="19" l="1"/>
  <c r="E8" i="19"/>
  <c r="E9" i="19"/>
  <c r="E10" i="19"/>
  <c r="E22" i="19"/>
  <c r="E23" i="19"/>
  <c r="E24" i="19"/>
  <c r="E25" i="19"/>
  <c r="E26" i="19"/>
  <c r="E27" i="19"/>
  <c r="E28" i="19"/>
  <c r="E29" i="19"/>
  <c r="E30" i="19"/>
  <c r="E31" i="19"/>
  <c r="E32" i="19"/>
  <c r="E33" i="19"/>
  <c r="E34" i="19"/>
  <c r="E35" i="19"/>
  <c r="E36" i="19"/>
  <c r="E37" i="19"/>
  <c r="E38" i="19"/>
  <c r="E39" i="19"/>
  <c r="B93" i="19" l="1"/>
  <c r="B92" i="19"/>
  <c r="B94" i="19"/>
  <c r="B97" i="19"/>
  <c r="C110" i="19" l="1"/>
  <c r="C109" i="19"/>
  <c r="C107" i="19"/>
  <c r="B100" i="19"/>
  <c r="B101" i="19"/>
  <c r="D285" i="19" l="1"/>
  <c r="AC204" i="19" s="1"/>
  <c r="X204" i="19" s="1"/>
  <c r="L285" i="19" l="1"/>
  <c r="F52" i="13"/>
  <c r="D69" i="2"/>
  <c r="D16" i="2"/>
  <c r="E102" i="8"/>
  <c r="E95" i="8"/>
  <c r="E92" i="8"/>
  <c r="G24" i="17" s="1"/>
  <c r="E88" i="8"/>
  <c r="E87" i="8"/>
  <c r="E86" i="8"/>
  <c r="E85" i="8"/>
  <c r="E82" i="8"/>
  <c r="E80" i="8"/>
  <c r="H95" i="8" l="1"/>
  <c r="H102" i="8"/>
  <c r="H92" i="8"/>
  <c r="H88" i="8"/>
  <c r="H87" i="8"/>
  <c r="H86" i="8"/>
  <c r="H85" i="8"/>
  <c r="H82" i="8"/>
  <c r="H80" i="8"/>
  <c r="I50" i="31" l="1"/>
  <c r="J50" i="31"/>
  <c r="K50" i="31"/>
  <c r="L50" i="31"/>
  <c r="I51" i="31"/>
  <c r="J51" i="31"/>
  <c r="K51" i="31"/>
  <c r="L51" i="31"/>
  <c r="I52" i="31"/>
  <c r="J52" i="31"/>
  <c r="K52" i="31"/>
  <c r="L52" i="31"/>
  <c r="I53" i="31"/>
  <c r="J53" i="31"/>
  <c r="K53" i="31"/>
  <c r="L53" i="31"/>
  <c r="I54" i="31"/>
  <c r="J54" i="31"/>
  <c r="K54" i="31"/>
  <c r="L54" i="31"/>
  <c r="I55" i="31"/>
  <c r="J55" i="31"/>
  <c r="K55" i="31"/>
  <c r="L55" i="31"/>
  <c r="I56" i="31"/>
  <c r="J56" i="31"/>
  <c r="K56" i="31"/>
  <c r="L56" i="31"/>
  <c r="I57" i="31"/>
  <c r="J57" i="31"/>
  <c r="K57" i="31"/>
  <c r="L57" i="31"/>
  <c r="I58" i="31"/>
  <c r="J58" i="31"/>
  <c r="K58" i="31"/>
  <c r="L58" i="31"/>
  <c r="I59" i="31"/>
  <c r="J59" i="31"/>
  <c r="K59" i="31"/>
  <c r="L59" i="31"/>
  <c r="I60" i="31"/>
  <c r="J60" i="31"/>
  <c r="K60" i="31"/>
  <c r="L60" i="31"/>
  <c r="I61" i="31"/>
  <c r="J61" i="31"/>
  <c r="K61" i="31"/>
  <c r="L61" i="31"/>
  <c r="I62" i="31"/>
  <c r="J62" i="31"/>
  <c r="K62" i="31"/>
  <c r="L62" i="31"/>
  <c r="I63" i="31"/>
  <c r="J63" i="31"/>
  <c r="K63" i="31"/>
  <c r="L63" i="31"/>
  <c r="I64" i="31"/>
  <c r="J64" i="31"/>
  <c r="K64" i="31"/>
  <c r="L64" i="31"/>
  <c r="I65" i="31"/>
  <c r="J65" i="31"/>
  <c r="K65" i="31"/>
  <c r="L65" i="31"/>
  <c r="I66" i="31"/>
  <c r="J66" i="31"/>
  <c r="K66" i="31"/>
  <c r="L66" i="31"/>
  <c r="J49" i="31"/>
  <c r="K49" i="31"/>
  <c r="L49" i="31"/>
  <c r="I49" i="31"/>
  <c r="I102" i="8"/>
  <c r="G102" i="8" s="1"/>
  <c r="F102" i="8"/>
  <c r="I95" i="8"/>
  <c r="G95" i="8" s="1"/>
  <c r="F92" i="8"/>
  <c r="F88" i="8"/>
  <c r="I87" i="8"/>
  <c r="G87" i="8" s="1"/>
  <c r="F86" i="8"/>
  <c r="I82" i="8"/>
  <c r="G82" i="8" s="1"/>
  <c r="I70" i="8"/>
  <c r="F85" i="8" l="1"/>
  <c r="I85" i="8"/>
  <c r="G85" i="8" s="1"/>
  <c r="F95" i="8"/>
  <c r="J95" i="8" s="1"/>
  <c r="K87" i="8"/>
  <c r="F87" i="8"/>
  <c r="J87" i="8" s="1"/>
  <c r="F80" i="8"/>
  <c r="I80" i="8"/>
  <c r="G80" i="8" s="1"/>
  <c r="I86" i="8"/>
  <c r="G86" i="8" s="1"/>
  <c r="I88" i="8"/>
  <c r="K82" i="8"/>
  <c r="F82" i="8"/>
  <c r="K95" i="8"/>
  <c r="J102" i="8"/>
  <c r="K102" i="8"/>
  <c r="I92" i="8"/>
  <c r="J85" i="8" l="1"/>
  <c r="L87" i="8"/>
  <c r="L102" i="8"/>
  <c r="K80" i="8"/>
  <c r="L95" i="8"/>
  <c r="K85" i="8"/>
  <c r="J86" i="8"/>
  <c r="K92" i="8"/>
  <c r="G92" i="8"/>
  <c r="K86" i="8"/>
  <c r="J80" i="8"/>
  <c r="G88" i="8"/>
  <c r="K88" i="8"/>
  <c r="J82" i="8"/>
  <c r="L82" i="8" s="1"/>
  <c r="L85" i="8" l="1"/>
  <c r="L86" i="8"/>
  <c r="L80" i="8"/>
  <c r="J88" i="8"/>
  <c r="L88" i="8" s="1"/>
  <c r="J92" i="8"/>
  <c r="L92" i="8" s="1"/>
  <c r="E5" i="9"/>
  <c r="E6" i="9"/>
  <c r="E8" i="9"/>
  <c r="E9" i="9"/>
  <c r="E10" i="9"/>
  <c r="E11" i="9"/>
  <c r="E12" i="9"/>
  <c r="E13" i="9"/>
  <c r="E15" i="9"/>
  <c r="E16" i="9"/>
  <c r="E17" i="9"/>
  <c r="E19" i="9"/>
  <c r="E20" i="9"/>
  <c r="E21" i="9"/>
  <c r="E22" i="9"/>
  <c r="E23" i="9"/>
  <c r="M7" i="9"/>
  <c r="J7" i="9"/>
  <c r="J14" i="9"/>
  <c r="E14" i="9" s="1"/>
  <c r="F49" i="31"/>
  <c r="E7" i="9" l="1"/>
  <c r="Q63" i="19"/>
  <c r="Q64" i="19"/>
  <c r="P66" i="19"/>
  <c r="B70" i="25" l="1"/>
  <c r="B69" i="25"/>
  <c r="B68" i="25"/>
  <c r="B67" i="25"/>
  <c r="N50" i="19"/>
  <c r="M65" i="25"/>
  <c r="M54" i="25"/>
  <c r="M53" i="25"/>
  <c r="M55" i="25" l="1"/>
  <c r="N54" i="19"/>
  <c r="N55" i="19"/>
  <c r="N53" i="19"/>
  <c r="M58" i="25" s="1"/>
  <c r="M60" i="25" l="1"/>
  <c r="M59" i="25"/>
  <c r="N58" i="19"/>
  <c r="N52" i="19"/>
  <c r="M57" i="25" s="1"/>
  <c r="N51" i="19"/>
  <c r="M56" i="25" s="1"/>
  <c r="J36" i="14"/>
  <c r="J35" i="14"/>
  <c r="J34" i="14"/>
  <c r="J33" i="14"/>
  <c r="J32" i="14"/>
  <c r="J31" i="14"/>
  <c r="J30" i="14"/>
  <c r="J29" i="14"/>
  <c r="M63" i="25" l="1"/>
  <c r="L67" i="25"/>
  <c r="E39" i="27" l="1"/>
  <c r="E35" i="27"/>
  <c r="A14" i="7" l="1"/>
  <c r="B14" i="7"/>
  <c r="D90" i="1" s="1"/>
  <c r="F90" i="1" s="1"/>
  <c r="J80" i="9" s="1"/>
  <c r="C14" i="7"/>
  <c r="B31" i="32" l="1"/>
  <c r="B32" i="32" s="1"/>
  <c r="B4" i="32" s="1"/>
  <c r="B24" i="32"/>
  <c r="D19" i="32"/>
  <c r="B11" i="32"/>
  <c r="B11" i="7"/>
  <c r="E42" i="4"/>
  <c r="D42" i="4"/>
  <c r="B42" i="4"/>
  <c r="B54" i="2" s="1"/>
  <c r="L54" i="2" s="1"/>
  <c r="D61" i="2" s="1"/>
  <c r="D40" i="4"/>
  <c r="D21" i="19" s="1"/>
  <c r="E21" i="19" s="1"/>
  <c r="D39" i="4"/>
  <c r="H32" i="4"/>
  <c r="D31" i="4"/>
  <c r="D29" i="4"/>
  <c r="D28" i="4"/>
  <c r="L6" i="19" s="1"/>
  <c r="L83" i="19" s="1"/>
  <c r="D27" i="4"/>
  <c r="D43" i="1" s="1"/>
  <c r="D26" i="4"/>
  <c r="I6" i="19" s="1"/>
  <c r="I83" i="19" s="1"/>
  <c r="C24" i="4"/>
  <c r="D23" i="4"/>
  <c r="B16" i="4"/>
  <c r="B10" i="4"/>
  <c r="B92" i="31"/>
  <c r="F92" i="31" s="1"/>
  <c r="C34" i="31"/>
  <c r="K28" i="31"/>
  <c r="I28" i="31"/>
  <c r="E17" i="31"/>
  <c r="C17" i="31"/>
  <c r="D16" i="31"/>
  <c r="C16" i="31"/>
  <c r="B16" i="31"/>
  <c r="E9" i="31"/>
  <c r="B52" i="31" s="1"/>
  <c r="D9" i="31"/>
  <c r="B44" i="31" s="1"/>
  <c r="D103" i="8"/>
  <c r="D96" i="8"/>
  <c r="D93" i="8"/>
  <c r="H24" i="17"/>
  <c r="I24" i="17" s="1"/>
  <c r="D61" i="19" s="1"/>
  <c r="D89" i="8"/>
  <c r="D84" i="8"/>
  <c r="D81" i="8"/>
  <c r="B28" i="8"/>
  <c r="B27" i="8"/>
  <c r="B26" i="8"/>
  <c r="B25" i="8"/>
  <c r="F24" i="8"/>
  <c r="B24" i="8"/>
  <c r="B23" i="8"/>
  <c r="A9" i="8"/>
  <c r="E27" i="8" s="1"/>
  <c r="Q19" i="19" s="1"/>
  <c r="B9" i="8"/>
  <c r="A8" i="8"/>
  <c r="B30" i="8" s="1"/>
  <c r="B8" i="8"/>
  <c r="F88" i="14"/>
  <c r="F54" i="14"/>
  <c r="F55" i="14" s="1"/>
  <c r="F52" i="14"/>
  <c r="C66" i="14" s="1"/>
  <c r="G22" i="17" s="1"/>
  <c r="H22" i="17" s="1"/>
  <c r="G26" i="14"/>
  <c r="G25" i="14"/>
  <c r="G24" i="14"/>
  <c r="E24" i="14"/>
  <c r="G23" i="14"/>
  <c r="E23" i="14"/>
  <c r="G22" i="14"/>
  <c r="G21" i="14"/>
  <c r="F16" i="14"/>
  <c r="H13" i="14"/>
  <c r="L31" i="14" s="1"/>
  <c r="H12" i="14"/>
  <c r="B12" i="14"/>
  <c r="H11" i="14"/>
  <c r="B11" i="14"/>
  <c r="F76" i="29"/>
  <c r="F77" i="29" s="1"/>
  <c r="E81" i="29" s="1"/>
  <c r="M17" i="19" s="1"/>
  <c r="F75" i="29"/>
  <c r="C88" i="29" s="1"/>
  <c r="G20" i="17" s="1"/>
  <c r="F40" i="29"/>
  <c r="F41" i="29" s="1"/>
  <c r="E45" i="29" s="1"/>
  <c r="L17" i="19" s="1"/>
  <c r="F39" i="29"/>
  <c r="C52" i="29" s="1"/>
  <c r="G19" i="17" s="1"/>
  <c r="F5" i="29"/>
  <c r="F6" i="29" s="1"/>
  <c r="E10" i="29" s="1"/>
  <c r="K17" i="19" s="1"/>
  <c r="F4" i="29"/>
  <c r="C17" i="29" s="1"/>
  <c r="G18" i="17" s="1"/>
  <c r="D108" i="13"/>
  <c r="F108" i="13" s="1"/>
  <c r="D107" i="13"/>
  <c r="F107" i="13" s="1"/>
  <c r="D106" i="13"/>
  <c r="F106" i="13" s="1"/>
  <c r="D105" i="13"/>
  <c r="F105" i="13" s="1"/>
  <c r="D104" i="13"/>
  <c r="F104" i="13" s="1"/>
  <c r="D103" i="13"/>
  <c r="F103" i="13" s="1"/>
  <c r="D102" i="13"/>
  <c r="F102" i="13" s="1"/>
  <c r="D101" i="13"/>
  <c r="F101" i="13" s="1"/>
  <c r="D100" i="13"/>
  <c r="F100" i="13" s="1"/>
  <c r="D99" i="13"/>
  <c r="F99" i="13" s="1"/>
  <c r="K95" i="13"/>
  <c r="A95" i="13"/>
  <c r="L94" i="13"/>
  <c r="K94" i="13"/>
  <c r="E116" i="13" s="1"/>
  <c r="A94" i="13"/>
  <c r="L83" i="13"/>
  <c r="N83" i="13" s="1"/>
  <c r="E83" i="13"/>
  <c r="E82" i="13"/>
  <c r="E81" i="13"/>
  <c r="E80" i="13"/>
  <c r="E79" i="13"/>
  <c r="E78" i="13"/>
  <c r="D77" i="13"/>
  <c r="E77" i="13" s="1"/>
  <c r="D76" i="13"/>
  <c r="C76" i="13"/>
  <c r="D75" i="13"/>
  <c r="C75" i="13"/>
  <c r="B75" i="13"/>
  <c r="D74" i="13"/>
  <c r="C74" i="13"/>
  <c r="B74" i="13"/>
  <c r="D73" i="13"/>
  <c r="C73" i="13"/>
  <c r="B73" i="13"/>
  <c r="D72" i="13"/>
  <c r="C72" i="13"/>
  <c r="B72" i="13"/>
  <c r="D71" i="13"/>
  <c r="C71" i="13"/>
  <c r="B71" i="13"/>
  <c r="D70" i="13"/>
  <c r="C70" i="13"/>
  <c r="B70" i="13"/>
  <c r="D69" i="13"/>
  <c r="C69" i="13"/>
  <c r="B69" i="13"/>
  <c r="D68" i="13"/>
  <c r="C68" i="13"/>
  <c r="B68" i="13"/>
  <c r="D67" i="13"/>
  <c r="C67" i="13"/>
  <c r="B67" i="13"/>
  <c r="D66" i="13"/>
  <c r="C66" i="13"/>
  <c r="B66" i="13"/>
  <c r="D65" i="13"/>
  <c r="C65" i="13"/>
  <c r="B65" i="13"/>
  <c r="D64" i="13"/>
  <c r="C64" i="13"/>
  <c r="B64" i="13"/>
  <c r="D63" i="13"/>
  <c r="C63" i="13"/>
  <c r="B63" i="13"/>
  <c r="C62" i="13"/>
  <c r="B62" i="13"/>
  <c r="B61" i="13"/>
  <c r="F56" i="13"/>
  <c r="M83" i="13" s="1"/>
  <c r="A56" i="13"/>
  <c r="E40" i="13"/>
  <c r="D40" i="13"/>
  <c r="C40" i="13"/>
  <c r="F33" i="13"/>
  <c r="F32" i="13"/>
  <c r="F31" i="13"/>
  <c r="F30" i="13"/>
  <c r="H30" i="13" s="1"/>
  <c r="K10" i="13"/>
  <c r="K11" i="13" s="1"/>
  <c r="B111" i="13" s="1"/>
  <c r="D111" i="13" s="1"/>
  <c r="F111" i="13" s="1"/>
  <c r="J10" i="13"/>
  <c r="J11" i="13" s="1"/>
  <c r="B110" i="13" s="1"/>
  <c r="D110" i="13" s="1"/>
  <c r="F110" i="13" s="1"/>
  <c r="I10" i="13"/>
  <c r="I11" i="13" s="1"/>
  <c r="B109" i="13" s="1"/>
  <c r="D109" i="13" s="1"/>
  <c r="F109" i="13" s="1"/>
  <c r="K8" i="13"/>
  <c r="F108" i="2"/>
  <c r="R101" i="2"/>
  <c r="O101" i="2"/>
  <c r="H83" i="2"/>
  <c r="F83" i="2"/>
  <c r="O82" i="2"/>
  <c r="O81" i="2"/>
  <c r="D80" i="2"/>
  <c r="O80" i="2" s="1"/>
  <c r="O79" i="2"/>
  <c r="B78" i="2"/>
  <c r="O78" i="2" s="1"/>
  <c r="O77" i="2"/>
  <c r="O76" i="2"/>
  <c r="D72" i="2"/>
  <c r="A72" i="2"/>
  <c r="D70" i="2"/>
  <c r="M76" i="2" s="1"/>
  <c r="A70" i="2"/>
  <c r="D67" i="2"/>
  <c r="A67" i="2"/>
  <c r="D62" i="2"/>
  <c r="O46" i="2"/>
  <c r="H28" i="2"/>
  <c r="H29" i="2" s="1"/>
  <c r="H30" i="2" s="1"/>
  <c r="H31" i="2" s="1"/>
  <c r="H32" i="2" s="1"/>
  <c r="H33" i="2" s="1"/>
  <c r="H34" i="2" s="1"/>
  <c r="H35" i="2" s="1"/>
  <c r="H36" i="2" s="1"/>
  <c r="H37" i="2" s="1"/>
  <c r="H38" i="2" s="1"/>
  <c r="H39" i="2" s="1"/>
  <c r="H40" i="2" s="1"/>
  <c r="H41" i="2" s="1"/>
  <c r="F26" i="2"/>
  <c r="F27" i="2" s="1"/>
  <c r="F28" i="2" s="1"/>
  <c r="F29" i="2" s="1"/>
  <c r="F30" i="2" s="1"/>
  <c r="F31" i="2" s="1"/>
  <c r="F32" i="2" s="1"/>
  <c r="F33" i="2" s="1"/>
  <c r="F34" i="2" s="1"/>
  <c r="F35" i="2" s="1"/>
  <c r="F36" i="2" s="1"/>
  <c r="F37" i="2" s="1"/>
  <c r="F38" i="2" s="1"/>
  <c r="F39" i="2" s="1"/>
  <c r="F40" i="2" s="1"/>
  <c r="D25" i="2"/>
  <c r="B24" i="2"/>
  <c r="D20" i="2"/>
  <c r="A20" i="2"/>
  <c r="D17" i="2"/>
  <c r="A17" i="2"/>
  <c r="D14" i="2"/>
  <c r="D15" i="2" s="1"/>
  <c r="D10" i="2"/>
  <c r="D11" i="2" s="1"/>
  <c r="D12" i="2" s="1"/>
  <c r="K5" i="2"/>
  <c r="H27" i="2" s="1"/>
  <c r="B40" i="15"/>
  <c r="D40" i="15" s="1"/>
  <c r="D39" i="15"/>
  <c r="B24" i="17"/>
  <c r="C24" i="17" s="1"/>
  <c r="E23" i="17"/>
  <c r="C23" i="17"/>
  <c r="B21" i="17"/>
  <c r="E20" i="17"/>
  <c r="C20" i="17"/>
  <c r="B19" i="17"/>
  <c r="E19" i="17" s="1"/>
  <c r="B18" i="17"/>
  <c r="E18" i="17" s="1"/>
  <c r="B17" i="17"/>
  <c r="C17" i="17" s="1"/>
  <c r="C16" i="17"/>
  <c r="B15" i="17"/>
  <c r="C15" i="17" s="1"/>
  <c r="B14" i="17"/>
  <c r="C14" i="17" s="1"/>
  <c r="E10" i="17"/>
  <c r="A10" i="17"/>
  <c r="D27" i="20"/>
  <c r="A26" i="20"/>
  <c r="A25" i="20"/>
  <c r="A24" i="20"/>
  <c r="C23" i="20"/>
  <c r="C27" i="20" s="1"/>
  <c r="A23" i="20"/>
  <c r="A22" i="20"/>
  <c r="A21" i="20"/>
  <c r="A20" i="20"/>
  <c r="A19" i="20"/>
  <c r="A18" i="20"/>
  <c r="A17" i="20"/>
  <c r="A16" i="20"/>
  <c r="B15" i="20"/>
  <c r="A15" i="20"/>
  <c r="B12" i="20"/>
  <c r="B11" i="20"/>
  <c r="C4" i="20"/>
  <c r="C3" i="20"/>
  <c r="C7" i="20" s="1"/>
  <c r="B282" i="19"/>
  <c r="B272" i="19"/>
  <c r="B262" i="19"/>
  <c r="L230" i="19"/>
  <c r="B221" i="19" s="1"/>
  <c r="D159" i="19"/>
  <c r="C159" i="19"/>
  <c r="B159" i="19"/>
  <c r="T158" i="19"/>
  <c r="S158" i="19"/>
  <c r="R158" i="19"/>
  <c r="Q158" i="19"/>
  <c r="P158" i="19"/>
  <c r="O158" i="19"/>
  <c r="N158" i="19"/>
  <c r="M158" i="19"/>
  <c r="L158" i="19"/>
  <c r="K158" i="19"/>
  <c r="J158" i="19"/>
  <c r="I158" i="19"/>
  <c r="G158" i="19"/>
  <c r="F158" i="19"/>
  <c r="T157" i="19"/>
  <c r="S157" i="19"/>
  <c r="R157" i="19"/>
  <c r="Q157" i="19"/>
  <c r="P157" i="19"/>
  <c r="O157" i="19"/>
  <c r="N157" i="19"/>
  <c r="M157" i="19"/>
  <c r="L157" i="19"/>
  <c r="K157" i="19"/>
  <c r="J157" i="19"/>
  <c r="I157" i="19"/>
  <c r="G157" i="19"/>
  <c r="F157" i="19"/>
  <c r="O123" i="19"/>
  <c r="L123" i="19"/>
  <c r="K123" i="19"/>
  <c r="I123" i="19"/>
  <c r="H123" i="19"/>
  <c r="G123" i="19"/>
  <c r="E116" i="19"/>
  <c r="E115" i="19"/>
  <c r="D114" i="19"/>
  <c r="C114" i="19"/>
  <c r="B114" i="19"/>
  <c r="D113" i="19"/>
  <c r="C113" i="19"/>
  <c r="B113" i="19"/>
  <c r="D112" i="19"/>
  <c r="C112" i="19"/>
  <c r="B112" i="19"/>
  <c r="D111" i="19"/>
  <c r="C111" i="19"/>
  <c r="B111" i="19"/>
  <c r="D110" i="19"/>
  <c r="B110" i="19"/>
  <c r="D109" i="19"/>
  <c r="B109" i="19"/>
  <c r="D108" i="19"/>
  <c r="C108" i="19"/>
  <c r="B108" i="19"/>
  <c r="D107" i="19"/>
  <c r="B107" i="19"/>
  <c r="D106" i="19"/>
  <c r="C106" i="19"/>
  <c r="B106" i="19"/>
  <c r="D105" i="19"/>
  <c r="C105" i="19"/>
  <c r="B105" i="19"/>
  <c r="D104" i="19"/>
  <c r="C104" i="19"/>
  <c r="B104" i="19"/>
  <c r="D103" i="19"/>
  <c r="C103" i="19"/>
  <c r="B103" i="19"/>
  <c r="D102" i="19"/>
  <c r="C102" i="19"/>
  <c r="B102" i="19"/>
  <c r="D101" i="19"/>
  <c r="C101" i="19"/>
  <c r="D100" i="19"/>
  <c r="C100" i="19"/>
  <c r="D99" i="19"/>
  <c r="C99" i="19"/>
  <c r="B99" i="19"/>
  <c r="C98" i="19"/>
  <c r="B98" i="19"/>
  <c r="C97" i="19"/>
  <c r="C96" i="19"/>
  <c r="B96" i="19"/>
  <c r="C95" i="19"/>
  <c r="B95" i="19"/>
  <c r="C94" i="19"/>
  <c r="C93" i="19"/>
  <c r="C92" i="19"/>
  <c r="C91" i="19"/>
  <c r="B91" i="19"/>
  <c r="C90" i="19"/>
  <c r="B90" i="19"/>
  <c r="C89" i="19"/>
  <c r="B89" i="19"/>
  <c r="C88" i="19"/>
  <c r="B88" i="19"/>
  <c r="D87" i="19"/>
  <c r="C87" i="19"/>
  <c r="B87" i="19"/>
  <c r="D86" i="19"/>
  <c r="C86" i="19"/>
  <c r="B86" i="19"/>
  <c r="D85" i="19"/>
  <c r="C85" i="19"/>
  <c r="B85" i="19"/>
  <c r="D84" i="19"/>
  <c r="C84" i="19"/>
  <c r="B84" i="19"/>
  <c r="R83" i="19"/>
  <c r="Q83" i="19"/>
  <c r="P83" i="19"/>
  <c r="O83" i="19"/>
  <c r="M83" i="19"/>
  <c r="J83" i="19"/>
  <c r="B71" i="19"/>
  <c r="A70" i="19"/>
  <c r="B69" i="19"/>
  <c r="G62" i="19"/>
  <c r="J58" i="19"/>
  <c r="J63" i="25" s="1"/>
  <c r="J54" i="19"/>
  <c r="J59" i="25" s="1"/>
  <c r="J53" i="19"/>
  <c r="J58" i="25" s="1"/>
  <c r="J52" i="19"/>
  <c r="J57" i="25" s="1"/>
  <c r="J51" i="19"/>
  <c r="J56" i="25" s="1"/>
  <c r="J50" i="19"/>
  <c r="J55" i="25" s="1"/>
  <c r="C43" i="19"/>
  <c r="B43" i="19"/>
  <c r="O39" i="19"/>
  <c r="O38" i="19"/>
  <c r="F18" i="19"/>
  <c r="F19" i="19" s="1"/>
  <c r="Q17" i="19"/>
  <c r="N17" i="19"/>
  <c r="Q16" i="19"/>
  <c r="Q15" i="19"/>
  <c r="Q14" i="19"/>
  <c r="Q13" i="19"/>
  <c r="Q12" i="19"/>
  <c r="F6" i="19"/>
  <c r="X97" i="9"/>
  <c r="W97" i="9"/>
  <c r="V97" i="9"/>
  <c r="S97" i="9"/>
  <c r="V90" i="9"/>
  <c r="V91" i="9" s="1"/>
  <c r="E77" i="9"/>
  <c r="E76" i="9"/>
  <c r="E73" i="9"/>
  <c r="X61" i="9"/>
  <c r="E61" i="9" s="1"/>
  <c r="W60" i="9"/>
  <c r="E60" i="9" s="1"/>
  <c r="E59" i="9"/>
  <c r="E49" i="9"/>
  <c r="E37" i="9"/>
  <c r="E26" i="9"/>
  <c r="M90" i="9"/>
  <c r="M91" i="9" s="1"/>
  <c r="M97" i="9" s="1"/>
  <c r="E101" i="1"/>
  <c r="D94" i="1"/>
  <c r="F94" i="1" s="1"/>
  <c r="J82" i="9" s="1"/>
  <c r="E82" i="9" s="1"/>
  <c r="E93" i="1"/>
  <c r="F85" i="1"/>
  <c r="D85" i="1"/>
  <c r="J72" i="9" s="1"/>
  <c r="E72" i="9" s="1"/>
  <c r="F80" i="1"/>
  <c r="D71" i="1"/>
  <c r="F70" i="1"/>
  <c r="D68" i="1"/>
  <c r="J64" i="9" s="1"/>
  <c r="E64" i="9" s="1"/>
  <c r="D65" i="1"/>
  <c r="F65" i="1" s="1"/>
  <c r="D62" i="1"/>
  <c r="F62" i="1" s="1"/>
  <c r="D40" i="1"/>
  <c r="F34" i="9" s="1"/>
  <c r="D38" i="1"/>
  <c r="R57" i="9" s="1"/>
  <c r="E30" i="1"/>
  <c r="G25" i="9" s="1"/>
  <c r="D30" i="1"/>
  <c r="F25" i="9" s="1"/>
  <c r="F24" i="1"/>
  <c r="D19" i="1"/>
  <c r="F5" i="1"/>
  <c r="F4" i="1"/>
  <c r="A102" i="27"/>
  <c r="A101" i="27"/>
  <c r="A100" i="27"/>
  <c r="A99" i="27"/>
  <c r="A98" i="27"/>
  <c r="A97" i="27"/>
  <c r="B81" i="27"/>
  <c r="B80" i="27"/>
  <c r="B77" i="27"/>
  <c r="N57" i="19" s="1"/>
  <c r="M62" i="25" s="1"/>
  <c r="B76" i="27"/>
  <c r="N59" i="19" s="1"/>
  <c r="M64" i="25" s="1"/>
  <c r="B75" i="27"/>
  <c r="N56" i="19" s="1"/>
  <c r="M61" i="25" s="1"/>
  <c r="B72" i="27"/>
  <c r="B36" i="32" s="1"/>
  <c r="B37" i="32" s="1"/>
  <c r="E19" i="27"/>
  <c r="E13" i="27"/>
  <c r="E8" i="27"/>
  <c r="F88" i="25"/>
  <c r="F87" i="25"/>
  <c r="B73" i="25"/>
  <c r="J72" i="25"/>
  <c r="B71" i="25"/>
  <c r="G70" i="25"/>
  <c r="B66" i="25"/>
  <c r="L65" i="25"/>
  <c r="H65" i="25"/>
  <c r="F65" i="25"/>
  <c r="E65" i="25"/>
  <c r="C65" i="25"/>
  <c r="B65" i="25"/>
  <c r="B64" i="25"/>
  <c r="B63" i="25"/>
  <c r="B62" i="25"/>
  <c r="B61" i="25"/>
  <c r="B60" i="25"/>
  <c r="B59" i="25"/>
  <c r="B58" i="25"/>
  <c r="B57" i="25"/>
  <c r="B56" i="25"/>
  <c r="B55" i="25"/>
  <c r="L54" i="25"/>
  <c r="K54" i="25"/>
  <c r="J54" i="25"/>
  <c r="I54" i="25"/>
  <c r="H54" i="25"/>
  <c r="G54" i="25"/>
  <c r="F54" i="25"/>
  <c r="E54" i="25"/>
  <c r="D54" i="25"/>
  <c r="C54" i="25"/>
  <c r="B54" i="25"/>
  <c r="K53" i="25"/>
  <c r="J53" i="25"/>
  <c r="I53" i="25"/>
  <c r="H53" i="25"/>
  <c r="G53" i="25"/>
  <c r="F53" i="25"/>
  <c r="E53" i="25"/>
  <c r="D53" i="25"/>
  <c r="B20" i="32" l="1"/>
  <c r="D20" i="32" s="1"/>
  <c r="E71" i="13"/>
  <c r="E72" i="13"/>
  <c r="B25" i="4"/>
  <c r="D14" i="19"/>
  <c r="D19" i="19"/>
  <c r="D15" i="19"/>
  <c r="D11" i="19"/>
  <c r="E11" i="19" s="1"/>
  <c r="D20" i="19"/>
  <c r="D16" i="19"/>
  <c r="D12" i="19"/>
  <c r="E12" i="19" s="1"/>
  <c r="D17" i="19"/>
  <c r="D13" i="19"/>
  <c r="E13" i="19" s="1"/>
  <c r="D18" i="19"/>
  <c r="E64" i="13"/>
  <c r="E87" i="19"/>
  <c r="F34" i="13"/>
  <c r="H34" i="13" s="1"/>
  <c r="K6" i="19"/>
  <c r="K83" i="19" s="1"/>
  <c r="D46" i="1"/>
  <c r="E46" i="1" s="1"/>
  <c r="I40" i="9" s="1"/>
  <c r="E40" i="9" s="1"/>
  <c r="G64" i="19"/>
  <c r="K64" i="19" s="1"/>
  <c r="K69" i="25" s="1"/>
  <c r="H81" i="8"/>
  <c r="I81" i="8" s="1"/>
  <c r="G81" i="8" s="1"/>
  <c r="E81" i="8"/>
  <c r="H93" i="8"/>
  <c r="E93" i="8"/>
  <c r="H84" i="8"/>
  <c r="E84" i="8"/>
  <c r="H96" i="8"/>
  <c r="F96" i="8" s="1"/>
  <c r="E96" i="8"/>
  <c r="H89" i="8"/>
  <c r="E89" i="8"/>
  <c r="H103" i="8"/>
  <c r="E103" i="8"/>
  <c r="I30" i="31"/>
  <c r="D104" i="8"/>
  <c r="D83" i="8"/>
  <c r="L97" i="9"/>
  <c r="L30" i="31"/>
  <c r="K30" i="31"/>
  <c r="J30" i="31"/>
  <c r="E43" i="1"/>
  <c r="F43" i="1"/>
  <c r="C19" i="17"/>
  <c r="P101" i="2"/>
  <c r="B26" i="20"/>
  <c r="B22" i="17"/>
  <c r="B28" i="17" s="1"/>
  <c r="D41" i="15"/>
  <c r="E40" i="15" s="1"/>
  <c r="B116" i="13"/>
  <c r="B117" i="13" s="1"/>
  <c r="G61" i="19"/>
  <c r="I61" i="19" s="1"/>
  <c r="I66" i="25" s="1"/>
  <c r="C18" i="17"/>
  <c r="E65" i="13"/>
  <c r="E73" i="13"/>
  <c r="E76" i="13"/>
  <c r="E40" i="1"/>
  <c r="G34" i="9" s="1"/>
  <c r="E34" i="9" s="1"/>
  <c r="F19" i="1"/>
  <c r="K18" i="9"/>
  <c r="E18" i="9" s="1"/>
  <c r="G83" i="2"/>
  <c r="L63" i="13"/>
  <c r="N63" i="13" s="1"/>
  <c r="O83" i="2"/>
  <c r="P83" i="2" s="1"/>
  <c r="G16" i="17" s="1"/>
  <c r="G21" i="17"/>
  <c r="H21" i="17" s="1"/>
  <c r="G58" i="19" s="1"/>
  <c r="G63" i="25" s="1"/>
  <c r="K32" i="14"/>
  <c r="K34" i="14"/>
  <c r="K31" i="14"/>
  <c r="K29" i="14"/>
  <c r="K30" i="14"/>
  <c r="K36" i="14"/>
  <c r="K35" i="14"/>
  <c r="K33" i="14"/>
  <c r="E67" i="13"/>
  <c r="E70" i="13"/>
  <c r="E68" i="13"/>
  <c r="E63" i="13"/>
  <c r="E66" i="13"/>
  <c r="E74" i="13"/>
  <c r="E69" i="13"/>
  <c r="N46" i="14"/>
  <c r="O46" i="14" s="1"/>
  <c r="N39" i="19" s="1"/>
  <c r="D90" i="19"/>
  <c r="E90" i="19" s="1"/>
  <c r="E114" i="19"/>
  <c r="E108" i="19"/>
  <c r="E102" i="19"/>
  <c r="F71" i="1"/>
  <c r="J67" i="9"/>
  <c r="E67" i="9" s="1"/>
  <c r="E25" i="9"/>
  <c r="J55" i="19"/>
  <c r="J60" i="25" s="1"/>
  <c r="E106" i="19"/>
  <c r="E110" i="19"/>
  <c r="L61" i="13"/>
  <c r="N61" i="13" s="1"/>
  <c r="E61" i="13"/>
  <c r="G109" i="13"/>
  <c r="C44" i="31"/>
  <c r="B35" i="31"/>
  <c r="C35" i="31" s="1"/>
  <c r="B30" i="4"/>
  <c r="B34" i="4" s="1"/>
  <c r="D25" i="4"/>
  <c r="E15" i="17"/>
  <c r="E16" i="17"/>
  <c r="D26" i="2"/>
  <c r="D27" i="2" s="1"/>
  <c r="E25" i="2"/>
  <c r="F30" i="1"/>
  <c r="F38" i="1"/>
  <c r="J56" i="19"/>
  <c r="J61" i="25" s="1"/>
  <c r="J59" i="19"/>
  <c r="J64" i="25" s="1"/>
  <c r="E84" i="19"/>
  <c r="D98" i="19"/>
  <c r="E98" i="19" s="1"/>
  <c r="E105" i="19"/>
  <c r="E113" i="19"/>
  <c r="H18" i="17"/>
  <c r="E62" i="13"/>
  <c r="L62" i="13"/>
  <c r="N62" i="13" s="1"/>
  <c r="E75" i="13"/>
  <c r="J57" i="19"/>
  <c r="J62" i="25" s="1"/>
  <c r="J60" i="19"/>
  <c r="J65" i="25" s="1"/>
  <c r="E99" i="19"/>
  <c r="E100" i="19"/>
  <c r="U123" i="19"/>
  <c r="B25" i="17"/>
  <c r="C11" i="31" s="1"/>
  <c r="O24" i="2"/>
  <c r="B25" i="2"/>
  <c r="B26" i="2" s="1"/>
  <c r="B6" i="32"/>
  <c r="B7" i="32" s="1"/>
  <c r="B5" i="32"/>
  <c r="C21" i="17"/>
  <c r="O26" i="2"/>
  <c r="D63" i="2"/>
  <c r="D64" i="2" s="1"/>
  <c r="K85" i="2" s="1"/>
  <c r="K86" i="2" s="1"/>
  <c r="K87" i="2" s="1"/>
  <c r="K88" i="2" s="1"/>
  <c r="K89" i="2" s="1"/>
  <c r="K90" i="2" s="1"/>
  <c r="K91" i="2" s="1"/>
  <c r="K92" i="2" s="1"/>
  <c r="K93" i="2" s="1"/>
  <c r="K94" i="2" s="1"/>
  <c r="K95" i="2" s="1"/>
  <c r="K96" i="2" s="1"/>
  <c r="K97" i="2" s="1"/>
  <c r="K98" i="2" s="1"/>
  <c r="K99" i="2" s="1"/>
  <c r="D97" i="8"/>
  <c r="H20" i="17"/>
  <c r="G57" i="19" s="1"/>
  <c r="I57" i="19" s="1"/>
  <c r="E24" i="2"/>
  <c r="Q101" i="2"/>
  <c r="D90" i="8"/>
  <c r="D94" i="8"/>
  <c r="D17" i="31"/>
  <c r="D24" i="4"/>
  <c r="C30" i="4"/>
  <c r="H19" i="17"/>
  <c r="G56" i="19" s="1"/>
  <c r="M80" i="2"/>
  <c r="E103" i="19"/>
  <c r="E86" i="19"/>
  <c r="B263" i="19"/>
  <c r="B264" i="19" s="1"/>
  <c r="D89" i="19"/>
  <c r="E89" i="19" s="1"/>
  <c r="G67" i="25"/>
  <c r="E107" i="19"/>
  <c r="D88" i="19"/>
  <c r="E88" i="19" s="1"/>
  <c r="D66" i="25"/>
  <c r="E111" i="19"/>
  <c r="F83" i="19"/>
  <c r="E101" i="19"/>
  <c r="F20" i="19"/>
  <c r="E85" i="19"/>
  <c r="E109" i="19"/>
  <c r="M285" i="19"/>
  <c r="N285" i="19"/>
  <c r="E104" i="19"/>
  <c r="E112" i="19"/>
  <c r="E26" i="8"/>
  <c r="Q18" i="19" s="1"/>
  <c r="B24" i="20"/>
  <c r="G59" i="19"/>
  <c r="I22" i="17"/>
  <c r="D59" i="19" s="1"/>
  <c r="F68" i="1"/>
  <c r="G23" i="17"/>
  <c r="H23" i="17" s="1"/>
  <c r="N27" i="2"/>
  <c r="G25" i="2"/>
  <c r="E114" i="13"/>
  <c r="D88" i="1"/>
  <c r="F88" i="1" s="1"/>
  <c r="L4" i="9" s="1"/>
  <c r="E4" i="9" s="1"/>
  <c r="W90" i="9"/>
  <c r="W91" i="9" s="1"/>
  <c r="C24" i="2"/>
  <c r="G26" i="2"/>
  <c r="E27" i="2"/>
  <c r="I28" i="2"/>
  <c r="F35" i="13"/>
  <c r="F51" i="13" s="1"/>
  <c r="I80" i="13" s="1"/>
  <c r="R90" i="9"/>
  <c r="R91" i="9" s="1"/>
  <c r="E57" i="9"/>
  <c r="B273" i="19"/>
  <c r="L44" i="2"/>
  <c r="K43" i="2"/>
  <c r="K42" i="2"/>
  <c r="L41" i="2"/>
  <c r="J40" i="2"/>
  <c r="M39" i="2"/>
  <c r="M38" i="2"/>
  <c r="J37" i="2"/>
  <c r="K36" i="2"/>
  <c r="L35" i="2"/>
  <c r="M34" i="2"/>
  <c r="J33" i="2"/>
  <c r="K32" i="2"/>
  <c r="M31" i="2"/>
  <c r="J28" i="2"/>
  <c r="M45" i="2"/>
  <c r="O45" i="2" s="1"/>
  <c r="J42" i="2"/>
  <c r="K41" i="2"/>
  <c r="M40" i="2"/>
  <c r="L39" i="2"/>
  <c r="L38" i="2"/>
  <c r="M37" i="2"/>
  <c r="J36" i="2"/>
  <c r="K35" i="2"/>
  <c r="L34" i="2"/>
  <c r="M33" i="2"/>
  <c r="J32" i="2"/>
  <c r="L31" i="2"/>
  <c r="L30" i="2"/>
  <c r="K29" i="2"/>
  <c r="M43" i="2"/>
  <c r="M42" i="2"/>
  <c r="J41" i="2"/>
  <c r="L40" i="2"/>
  <c r="K39" i="2"/>
  <c r="K38" i="2"/>
  <c r="L37" i="2"/>
  <c r="M36" i="2"/>
  <c r="J35" i="2"/>
  <c r="K34" i="2"/>
  <c r="L33" i="2"/>
  <c r="M32" i="2"/>
  <c r="K31" i="2"/>
  <c r="K30" i="2"/>
  <c r="M44" i="2"/>
  <c r="L43" i="2"/>
  <c r="L42" i="2"/>
  <c r="M41" i="2"/>
  <c r="K40" i="2"/>
  <c r="J39" i="2"/>
  <c r="J38" i="2"/>
  <c r="K37" i="2"/>
  <c r="L36" i="2"/>
  <c r="M35" i="2"/>
  <c r="J34" i="2"/>
  <c r="K33" i="2"/>
  <c r="L32" i="2"/>
  <c r="J31" i="2"/>
  <c r="J30" i="2"/>
  <c r="J29" i="2"/>
  <c r="E14" i="17"/>
  <c r="G24" i="2"/>
  <c r="P24" i="2"/>
  <c r="C25" i="2"/>
  <c r="I25" i="2"/>
  <c r="I26" i="2"/>
  <c r="N46" i="2"/>
  <c r="I46" i="2"/>
  <c r="E45" i="2"/>
  <c r="C44" i="2"/>
  <c r="C43" i="2"/>
  <c r="E42" i="2"/>
  <c r="I39" i="2"/>
  <c r="I38" i="2"/>
  <c r="G36" i="2"/>
  <c r="I34" i="2"/>
  <c r="G32" i="2"/>
  <c r="I31" i="2"/>
  <c r="I30" i="2"/>
  <c r="G27" i="2"/>
  <c r="G46" i="2"/>
  <c r="C45" i="2"/>
  <c r="I44" i="2"/>
  <c r="I43" i="2"/>
  <c r="C42" i="2"/>
  <c r="G41" i="2"/>
  <c r="I40" i="2"/>
  <c r="E40" i="2"/>
  <c r="I37" i="2"/>
  <c r="G35" i="2"/>
  <c r="I33" i="2"/>
  <c r="G29" i="2"/>
  <c r="E46" i="2"/>
  <c r="I45" i="2"/>
  <c r="G44" i="2"/>
  <c r="G43" i="2"/>
  <c r="I42" i="2"/>
  <c r="E41" i="2"/>
  <c r="C40" i="2"/>
  <c r="G39" i="2"/>
  <c r="C39" i="2"/>
  <c r="G38" i="2"/>
  <c r="I36" i="2"/>
  <c r="G34" i="2"/>
  <c r="I32" i="2"/>
  <c r="G31" i="2"/>
  <c r="G30" i="2"/>
  <c r="C46" i="2"/>
  <c r="G45" i="2"/>
  <c r="E44" i="2"/>
  <c r="E43" i="2"/>
  <c r="G42" i="2"/>
  <c r="I41" i="2"/>
  <c r="C41" i="2"/>
  <c r="G40" i="2"/>
  <c r="G37" i="2"/>
  <c r="I35" i="2"/>
  <c r="G33" i="2"/>
  <c r="I29" i="2"/>
  <c r="G28" i="2"/>
  <c r="I24" i="2"/>
  <c r="N25" i="2"/>
  <c r="E26" i="2"/>
  <c r="N26" i="2"/>
  <c r="I27" i="2"/>
  <c r="P26" i="2"/>
  <c r="P46" i="2"/>
  <c r="P45" i="2"/>
  <c r="D18" i="2"/>
  <c r="N24" i="2"/>
  <c r="L86" i="2"/>
  <c r="L87" i="2" s="1"/>
  <c r="L88" i="2" s="1"/>
  <c r="L89" i="2" s="1"/>
  <c r="L90" i="2" s="1"/>
  <c r="L91" i="2" s="1"/>
  <c r="L92" i="2" s="1"/>
  <c r="L93" i="2" s="1"/>
  <c r="L94" i="2" s="1"/>
  <c r="L95" i="2" s="1"/>
  <c r="L96" i="2" s="1"/>
  <c r="L97" i="2" s="1"/>
  <c r="L98" i="2" s="1"/>
  <c r="L99" i="2" s="1"/>
  <c r="L100" i="2" s="1"/>
  <c r="O100" i="2" s="1"/>
  <c r="P25" i="2"/>
  <c r="C76" i="2"/>
  <c r="I77" i="2"/>
  <c r="Q77" i="2"/>
  <c r="E78" i="2"/>
  <c r="C79" i="2"/>
  <c r="M79" i="2"/>
  <c r="G80" i="2"/>
  <c r="P80" i="2"/>
  <c r="E81" i="2"/>
  <c r="C82" i="2"/>
  <c r="M82" i="2"/>
  <c r="C100" i="2"/>
  <c r="I99" i="2"/>
  <c r="I98" i="2"/>
  <c r="I97" i="2"/>
  <c r="I96" i="2"/>
  <c r="I95" i="2"/>
  <c r="I94" i="2"/>
  <c r="I93" i="2"/>
  <c r="I92" i="2"/>
  <c r="I91" i="2"/>
  <c r="I90" i="2"/>
  <c r="I89" i="2"/>
  <c r="I88" i="2"/>
  <c r="I87" i="2"/>
  <c r="I86" i="2"/>
  <c r="I100" i="2"/>
  <c r="G99" i="2"/>
  <c r="G98" i="2"/>
  <c r="G97" i="2"/>
  <c r="G96" i="2"/>
  <c r="G95" i="2"/>
  <c r="G94" i="2"/>
  <c r="G93" i="2"/>
  <c r="G92" i="2"/>
  <c r="G91" i="2"/>
  <c r="G90" i="2"/>
  <c r="G89" i="2"/>
  <c r="G88" i="2"/>
  <c r="G87" i="2"/>
  <c r="G86" i="2"/>
  <c r="E85" i="2"/>
  <c r="I84" i="2"/>
  <c r="G100" i="2"/>
  <c r="E99" i="2"/>
  <c r="E98" i="2"/>
  <c r="E97" i="2"/>
  <c r="E96" i="2"/>
  <c r="E95" i="2"/>
  <c r="E94" i="2"/>
  <c r="E93" i="2"/>
  <c r="E92" i="2"/>
  <c r="E91" i="2"/>
  <c r="E90" i="2"/>
  <c r="E89" i="2"/>
  <c r="E88" i="2"/>
  <c r="E87" i="2"/>
  <c r="E86" i="2"/>
  <c r="E100" i="2"/>
  <c r="C99" i="2"/>
  <c r="C98" i="2"/>
  <c r="C97" i="2"/>
  <c r="C96" i="2"/>
  <c r="C95" i="2"/>
  <c r="C94" i="2"/>
  <c r="C93" i="2"/>
  <c r="C92" i="2"/>
  <c r="C91" i="2"/>
  <c r="C90" i="2"/>
  <c r="C89" i="2"/>
  <c r="C88" i="2"/>
  <c r="E76" i="2"/>
  <c r="C77" i="2"/>
  <c r="M77" i="2"/>
  <c r="G78" i="2"/>
  <c r="P78" i="2"/>
  <c r="E79" i="2"/>
  <c r="C80" i="2"/>
  <c r="I80" i="2"/>
  <c r="Q80" i="2"/>
  <c r="G81" i="2"/>
  <c r="P81" i="2"/>
  <c r="E82" i="2"/>
  <c r="C83" i="2"/>
  <c r="C84" i="2"/>
  <c r="C85" i="2"/>
  <c r="C87" i="2"/>
  <c r="G76" i="2"/>
  <c r="P76" i="2"/>
  <c r="E77" i="2"/>
  <c r="I78" i="2"/>
  <c r="Q78" i="2"/>
  <c r="G79" i="2"/>
  <c r="P79" i="2"/>
  <c r="I81" i="2"/>
  <c r="Q81" i="2"/>
  <c r="G82" i="2"/>
  <c r="P82" i="2"/>
  <c r="E83" i="2"/>
  <c r="I83" i="2"/>
  <c r="Q83" i="2"/>
  <c r="E84" i="2"/>
  <c r="G85" i="2"/>
  <c r="C86" i="2"/>
  <c r="I76" i="2"/>
  <c r="Q76" i="2"/>
  <c r="G77" i="2"/>
  <c r="P77" i="2"/>
  <c r="C78" i="2"/>
  <c r="M78" i="2"/>
  <c r="I79" i="2"/>
  <c r="Q79" i="2"/>
  <c r="E80" i="2"/>
  <c r="C81" i="2"/>
  <c r="M81" i="2"/>
  <c r="I82" i="2"/>
  <c r="Q82" i="2"/>
  <c r="M83" i="2"/>
  <c r="G84" i="2"/>
  <c r="I85" i="2"/>
  <c r="K63" i="13"/>
  <c r="O63" i="13" s="1"/>
  <c r="I19" i="19" s="1"/>
  <c r="H32" i="13"/>
  <c r="M61" i="13"/>
  <c r="O83" i="13"/>
  <c r="I39" i="19" s="1"/>
  <c r="K83" i="13"/>
  <c r="C11" i="29"/>
  <c r="E11" i="29" s="1"/>
  <c r="K18" i="19" s="1"/>
  <c r="C18" i="29"/>
  <c r="E17" i="29"/>
  <c r="K24" i="19" s="1"/>
  <c r="K61" i="13"/>
  <c r="K62" i="13"/>
  <c r="I109" i="13"/>
  <c r="L109" i="13" s="1"/>
  <c r="J17" i="19" s="1"/>
  <c r="I111" i="13"/>
  <c r="L111" i="13" s="1"/>
  <c r="J19" i="19" s="1"/>
  <c r="E117" i="13"/>
  <c r="E119" i="13"/>
  <c r="E121" i="13"/>
  <c r="E123" i="13"/>
  <c r="E125" i="13"/>
  <c r="E127" i="13"/>
  <c r="E129" i="13"/>
  <c r="E131" i="13"/>
  <c r="E115" i="13"/>
  <c r="C46" i="29"/>
  <c r="E46" i="29" s="1"/>
  <c r="L18" i="19" s="1"/>
  <c r="C53" i="29"/>
  <c r="E52" i="29"/>
  <c r="L24" i="19" s="1"/>
  <c r="E88" i="29"/>
  <c r="M24" i="19" s="1"/>
  <c r="C82" i="29"/>
  <c r="E82" i="29" s="1"/>
  <c r="M18" i="19" s="1"/>
  <c r="C89" i="29"/>
  <c r="I99" i="13"/>
  <c r="I100" i="13"/>
  <c r="L100" i="13" s="1"/>
  <c r="J8" i="19" s="1"/>
  <c r="I101" i="13"/>
  <c r="L101" i="13" s="1"/>
  <c r="J9" i="19" s="1"/>
  <c r="I102" i="13"/>
  <c r="L102" i="13" s="1"/>
  <c r="J10" i="19" s="1"/>
  <c r="I103" i="13"/>
  <c r="L103" i="13" s="1"/>
  <c r="J11" i="19" s="1"/>
  <c r="I104" i="13"/>
  <c r="L104" i="13" s="1"/>
  <c r="J12" i="19" s="1"/>
  <c r="I105" i="13"/>
  <c r="L105" i="13" s="1"/>
  <c r="J13" i="19" s="1"/>
  <c r="I106" i="13"/>
  <c r="L106" i="13" s="1"/>
  <c r="J14" i="19" s="1"/>
  <c r="I107" i="13"/>
  <c r="L107" i="13" s="1"/>
  <c r="J15" i="19" s="1"/>
  <c r="I108" i="13"/>
  <c r="L108" i="13" s="1"/>
  <c r="J16" i="19" s="1"/>
  <c r="E118" i="13"/>
  <c r="E120" i="13"/>
  <c r="E122" i="13"/>
  <c r="E124" i="13"/>
  <c r="E126" i="13"/>
  <c r="E128" i="13"/>
  <c r="E130" i="13"/>
  <c r="C67" i="14"/>
  <c r="B63" i="31"/>
  <c r="C63" i="31" s="1"/>
  <c r="B59" i="31"/>
  <c r="C59" i="31" s="1"/>
  <c r="B55" i="31"/>
  <c r="C55" i="31" s="1"/>
  <c r="C52" i="31"/>
  <c r="B45" i="31"/>
  <c r="B64" i="31"/>
  <c r="C64" i="31" s="1"/>
  <c r="B60" i="31"/>
  <c r="C60" i="31" s="1"/>
  <c r="B56" i="31"/>
  <c r="C56" i="31" s="1"/>
  <c r="B65" i="31"/>
  <c r="C65" i="31" s="1"/>
  <c r="B61" i="31"/>
  <c r="C61" i="31" s="1"/>
  <c r="B57" i="31"/>
  <c r="C57" i="31" s="1"/>
  <c r="B53" i="31"/>
  <c r="C53" i="31" s="1"/>
  <c r="B66" i="31"/>
  <c r="C66" i="31" s="1"/>
  <c r="B62" i="31"/>
  <c r="C62" i="31" s="1"/>
  <c r="B58" i="31"/>
  <c r="C58" i="31" s="1"/>
  <c r="B54" i="31"/>
  <c r="C54" i="31" s="1"/>
  <c r="I110" i="13"/>
  <c r="L110" i="13" s="1"/>
  <c r="J18" i="19" s="1"/>
  <c r="L26" i="14"/>
  <c r="N26" i="14" s="1"/>
  <c r="O26" i="14" s="1"/>
  <c r="N19" i="19" s="1"/>
  <c r="L32" i="14"/>
  <c r="N31" i="14"/>
  <c r="B29" i="8"/>
  <c r="C29" i="8" s="1"/>
  <c r="E13" i="31"/>
  <c r="B32" i="8"/>
  <c r="N25" i="14"/>
  <c r="O25" i="14" s="1"/>
  <c r="E28" i="8"/>
  <c r="Q20" i="19" s="1"/>
  <c r="B31" i="8"/>
  <c r="E80" i="9"/>
  <c r="B33" i="32" l="1"/>
  <c r="B22" i="32"/>
  <c r="B25" i="32" s="1"/>
  <c r="B35" i="32" s="1"/>
  <c r="B9" i="32" s="1"/>
  <c r="B12" i="32" s="1"/>
  <c r="I19" i="17"/>
  <c r="D56" i="19" s="1"/>
  <c r="D61" i="25" s="1"/>
  <c r="E20" i="19"/>
  <c r="D97" i="19"/>
  <c r="E97" i="19" s="1"/>
  <c r="M62" i="13"/>
  <c r="D43" i="19"/>
  <c r="E15" i="19"/>
  <c r="D92" i="19"/>
  <c r="E92" i="19" s="1"/>
  <c r="E19" i="19"/>
  <c r="D96" i="19"/>
  <c r="E96" i="19" s="1"/>
  <c r="E17" i="19"/>
  <c r="D94" i="19"/>
  <c r="E94" i="19" s="1"/>
  <c r="D30" i="4"/>
  <c r="E18" i="19"/>
  <c r="D95" i="19"/>
  <c r="E95" i="19" s="1"/>
  <c r="E14" i="19"/>
  <c r="D91" i="19"/>
  <c r="E91" i="19" s="1"/>
  <c r="E16" i="19"/>
  <c r="D93" i="19"/>
  <c r="E93" i="19" s="1"/>
  <c r="E39" i="15"/>
  <c r="F81" i="8"/>
  <c r="G69" i="25"/>
  <c r="J84" i="2"/>
  <c r="M84" i="2" s="1"/>
  <c r="M99" i="2"/>
  <c r="I72" i="13"/>
  <c r="M100" i="2"/>
  <c r="R100" i="2" s="1"/>
  <c r="H41" i="19" s="1"/>
  <c r="B112" i="13"/>
  <c r="D112" i="13" s="1"/>
  <c r="F112" i="13" s="1"/>
  <c r="D116" i="13"/>
  <c r="I116" i="13" s="1"/>
  <c r="B22" i="20"/>
  <c r="H90" i="8"/>
  <c r="E90" i="8"/>
  <c r="H104" i="8"/>
  <c r="F104" i="8" s="1"/>
  <c r="E104" i="8"/>
  <c r="I96" i="8"/>
  <c r="G96" i="8" s="1"/>
  <c r="J96" i="8" s="1"/>
  <c r="F50" i="14"/>
  <c r="C59" i="14" s="1"/>
  <c r="C60" i="14" s="1"/>
  <c r="E60" i="14" s="1"/>
  <c r="O18" i="19" s="1"/>
  <c r="H94" i="8"/>
  <c r="E94" i="8"/>
  <c r="H97" i="8"/>
  <c r="E97" i="8"/>
  <c r="D105" i="8"/>
  <c r="H83" i="8"/>
  <c r="E83" i="8"/>
  <c r="B23" i="20"/>
  <c r="D34" i="31" a="1"/>
  <c r="D34" i="31" s="1"/>
  <c r="S7" i="19" s="1"/>
  <c r="D58" i="31" a="1"/>
  <c r="D66" i="31" a="1"/>
  <c r="D66" i="31" s="1"/>
  <c r="S39" i="19" s="1"/>
  <c r="D61" i="31" a="1"/>
  <c r="D61" i="31" s="1"/>
  <c r="S34" i="19" s="1"/>
  <c r="D63" i="31" a="1"/>
  <c r="D63" i="31" s="1"/>
  <c r="S36" i="19" s="1"/>
  <c r="D59" i="31" a="1"/>
  <c r="D59" i="31" s="1"/>
  <c r="S32" i="19" s="1"/>
  <c r="D53" i="31" a="1"/>
  <c r="D53" i="31" s="1"/>
  <c r="S26" i="19" s="1"/>
  <c r="D54" i="31" a="1"/>
  <c r="D54" i="31" s="1"/>
  <c r="S27" i="19" s="1"/>
  <c r="D44" i="31" a="1"/>
  <c r="D44" i="31" s="1"/>
  <c r="S17" i="19" s="1"/>
  <c r="D52" i="31" a="1"/>
  <c r="D60" i="31" a="1"/>
  <c r="D60" i="31" s="1"/>
  <c r="S33" i="19" s="1"/>
  <c r="D62" i="31" a="1"/>
  <c r="D62" i="31" s="1"/>
  <c r="S35" i="19" s="1"/>
  <c r="D55" i="31" a="1"/>
  <c r="D55" i="31" s="1"/>
  <c r="S28" i="19" s="1"/>
  <c r="D56" i="31" a="1"/>
  <c r="D56" i="31" s="1"/>
  <c r="S29" i="19" s="1"/>
  <c r="D64" i="31" a="1"/>
  <c r="D64" i="31" s="1"/>
  <c r="S37" i="19" s="1"/>
  <c r="D57" i="31" a="1"/>
  <c r="D57" i="31" s="1"/>
  <c r="S30" i="19" s="1"/>
  <c r="D65" i="31" a="1"/>
  <c r="D65" i="31" s="1"/>
  <c r="S38" i="19" s="1"/>
  <c r="D35" i="31" a="1"/>
  <c r="D35" i="31" s="1"/>
  <c r="S8" i="19" s="1"/>
  <c r="U8" i="19" s="1"/>
  <c r="J81" i="8"/>
  <c r="F93" i="8"/>
  <c r="I93" i="8"/>
  <c r="G93" i="8" s="1"/>
  <c r="I104" i="8"/>
  <c r="G104" i="8" s="1"/>
  <c r="F97" i="8"/>
  <c r="I97" i="8"/>
  <c r="G97" i="8" s="1"/>
  <c r="I94" i="8"/>
  <c r="G94" i="8" s="1"/>
  <c r="F94" i="8"/>
  <c r="K81" i="8"/>
  <c r="L81" i="8" s="1"/>
  <c r="I90" i="8"/>
  <c r="G90" i="8" s="1"/>
  <c r="F90" i="8"/>
  <c r="F89" i="8"/>
  <c r="I89" i="8"/>
  <c r="G89" i="8" s="1"/>
  <c r="F84" i="8"/>
  <c r="I84" i="8"/>
  <c r="G84" i="8" s="1"/>
  <c r="I103" i="8"/>
  <c r="G103" i="8" s="1"/>
  <c r="F103" i="8"/>
  <c r="C22" i="17"/>
  <c r="C25" i="17" s="1"/>
  <c r="D10" i="31" s="1"/>
  <c r="B29" i="17"/>
  <c r="B31" i="17" s="1"/>
  <c r="D64" i="25"/>
  <c r="D52" i="31"/>
  <c r="S25" i="19" s="1"/>
  <c r="D58" i="31"/>
  <c r="S31" i="19" s="1"/>
  <c r="I58" i="19"/>
  <c r="I63" i="25" s="1"/>
  <c r="G62" i="25"/>
  <c r="J68" i="13"/>
  <c r="M63" i="13"/>
  <c r="G66" i="25"/>
  <c r="B36" i="31"/>
  <c r="C36" i="31" s="1"/>
  <c r="D36" i="31" s="1" a="1"/>
  <c r="F40" i="1"/>
  <c r="O31" i="14"/>
  <c r="N24" i="19" s="1"/>
  <c r="F46" i="1"/>
  <c r="O62" i="13"/>
  <c r="I18" i="19" s="1"/>
  <c r="I20" i="17"/>
  <c r="D57" i="19" s="1"/>
  <c r="D62" i="25" s="1"/>
  <c r="I21" i="17"/>
  <c r="D58" i="19" s="1"/>
  <c r="N45" i="2"/>
  <c r="R45" i="2" s="1"/>
  <c r="G38" i="19" s="1"/>
  <c r="B21" i="20"/>
  <c r="F72" i="13"/>
  <c r="F76" i="13"/>
  <c r="H66" i="13"/>
  <c r="G72" i="13"/>
  <c r="G78" i="13"/>
  <c r="J70" i="13"/>
  <c r="H76" i="13"/>
  <c r="G77" i="13"/>
  <c r="I112" i="13"/>
  <c r="F64" i="13"/>
  <c r="L64" i="13" s="1"/>
  <c r="N64" i="13" s="1"/>
  <c r="J80" i="13"/>
  <c r="I81" i="13"/>
  <c r="J74" i="13"/>
  <c r="J71" i="13"/>
  <c r="F69" i="13"/>
  <c r="H74" i="13"/>
  <c r="F65" i="13"/>
  <c r="I77" i="13"/>
  <c r="G27" i="8"/>
  <c r="C45" i="31"/>
  <c r="D45" i="31" s="1" a="1"/>
  <c r="C83" i="29"/>
  <c r="E83" i="29" s="1"/>
  <c r="M19" i="19" s="1"/>
  <c r="L27" i="14"/>
  <c r="N27" i="14" s="1"/>
  <c r="O27" i="14" s="1"/>
  <c r="N20" i="19" s="1"/>
  <c r="B14" i="32"/>
  <c r="B13" i="32"/>
  <c r="D33" i="1"/>
  <c r="E33" i="1"/>
  <c r="G28" i="9" s="1"/>
  <c r="G6" i="19"/>
  <c r="D98" i="8"/>
  <c r="I18" i="17"/>
  <c r="D55" i="19" s="1"/>
  <c r="D60" i="25" s="1"/>
  <c r="B20" i="20"/>
  <c r="G55" i="19"/>
  <c r="H67" i="13"/>
  <c r="H71" i="13"/>
  <c r="I67" i="13"/>
  <c r="F66" i="13"/>
  <c r="J69" i="13"/>
  <c r="G66" i="13"/>
  <c r="G69" i="13"/>
  <c r="H75" i="13"/>
  <c r="I73" i="13"/>
  <c r="H77" i="13"/>
  <c r="J81" i="13"/>
  <c r="H72" i="13"/>
  <c r="F75" i="13"/>
  <c r="F78" i="13"/>
  <c r="G73" i="13"/>
  <c r="J76" i="13"/>
  <c r="I79" i="13"/>
  <c r="H78" i="13"/>
  <c r="J82" i="13"/>
  <c r="H16" i="17"/>
  <c r="I16" i="17" s="1"/>
  <c r="E43" i="19"/>
  <c r="D91" i="8"/>
  <c r="B83" i="27"/>
  <c r="B84" i="27" s="1"/>
  <c r="B82" i="27"/>
  <c r="B27" i="2"/>
  <c r="O27" i="2" s="1"/>
  <c r="C26" i="2"/>
  <c r="R26" i="2" s="1"/>
  <c r="G19" i="19" s="1"/>
  <c r="D34" i="4"/>
  <c r="K90" i="9"/>
  <c r="K91" i="9" s="1"/>
  <c r="K97" i="9" s="1"/>
  <c r="G68" i="13"/>
  <c r="J72" i="13"/>
  <c r="H68" i="13"/>
  <c r="F67" i="13"/>
  <c r="F70" i="13"/>
  <c r="G67" i="13"/>
  <c r="I70" i="13"/>
  <c r="G70" i="13"/>
  <c r="G74" i="13"/>
  <c r="I78" i="13"/>
  <c r="H70" i="13"/>
  <c r="F73" i="13"/>
  <c r="J75" i="13"/>
  <c r="J78" i="13"/>
  <c r="I74" i="13"/>
  <c r="F77" i="13"/>
  <c r="H80" i="13"/>
  <c r="J79" i="13"/>
  <c r="D28" i="2"/>
  <c r="H6" i="19"/>
  <c r="H83" i="19" s="1"/>
  <c r="D36" i="1"/>
  <c r="E87" i="13"/>
  <c r="C12" i="29"/>
  <c r="E12" i="29" s="1"/>
  <c r="K19" i="19" s="1"/>
  <c r="G65" i="13"/>
  <c r="H69" i="13"/>
  <c r="F74" i="13"/>
  <c r="I69" i="13"/>
  <c r="I68" i="13"/>
  <c r="H73" i="13"/>
  <c r="F68" i="13"/>
  <c r="G71" i="13"/>
  <c r="I71" i="13"/>
  <c r="I75" i="13"/>
  <c r="G79" i="13"/>
  <c r="F71" i="13"/>
  <c r="J73" i="13"/>
  <c r="I76" i="13"/>
  <c r="H79" i="13"/>
  <c r="G75" i="13"/>
  <c r="J77" i="13"/>
  <c r="G76" i="13"/>
  <c r="N6" i="19"/>
  <c r="N83" i="19" s="1"/>
  <c r="D53" i="1"/>
  <c r="C34" i="4"/>
  <c r="B4" i="4" s="1"/>
  <c r="O25" i="2"/>
  <c r="F21" i="19"/>
  <c r="E119" i="19"/>
  <c r="P44" i="2"/>
  <c r="Q44" i="2" s="1"/>
  <c r="N44" i="2"/>
  <c r="R44" i="2" s="1"/>
  <c r="G37" i="19" s="1"/>
  <c r="N41" i="2"/>
  <c r="R41" i="2" s="1"/>
  <c r="G34" i="19" s="1"/>
  <c r="N31" i="2"/>
  <c r="N43" i="2"/>
  <c r="R43" i="2" s="1"/>
  <c r="G36" i="19" s="1"/>
  <c r="N32" i="2"/>
  <c r="N36" i="2"/>
  <c r="N40" i="2"/>
  <c r="R40" i="2" s="1"/>
  <c r="G33" i="19" s="1"/>
  <c r="N34" i="2"/>
  <c r="P41" i="2"/>
  <c r="Q41" i="2" s="1"/>
  <c r="N29" i="2"/>
  <c r="N35" i="2"/>
  <c r="N30" i="2"/>
  <c r="N33" i="2"/>
  <c r="N37" i="2"/>
  <c r="N42" i="2"/>
  <c r="R42" i="2" s="1"/>
  <c r="G35" i="19" s="1"/>
  <c r="L90" i="9"/>
  <c r="L91" i="9" s="1"/>
  <c r="I23" i="17"/>
  <c r="D60" i="19" s="1"/>
  <c r="G60" i="19"/>
  <c r="B25" i="20"/>
  <c r="I56" i="19"/>
  <c r="G61" i="25"/>
  <c r="R78" i="2"/>
  <c r="H19" i="19" s="1"/>
  <c r="P42" i="2"/>
  <c r="Q42" i="2" s="1"/>
  <c r="N38" i="2"/>
  <c r="R24" i="2"/>
  <c r="G17" i="19" s="1"/>
  <c r="I59" i="19"/>
  <c r="G64" i="25"/>
  <c r="O99" i="2"/>
  <c r="P99" i="2" s="1"/>
  <c r="B134" i="2" s="1"/>
  <c r="D134" i="2" s="1"/>
  <c r="P43" i="2"/>
  <c r="Q43" i="2" s="1"/>
  <c r="P40" i="2"/>
  <c r="Q40" i="2" s="1"/>
  <c r="N28" i="2"/>
  <c r="N39" i="2"/>
  <c r="R46" i="2"/>
  <c r="G39" i="19" s="1"/>
  <c r="K57" i="19"/>
  <c r="K62" i="25" s="1"/>
  <c r="I62" i="25"/>
  <c r="B46" i="31"/>
  <c r="C47" i="29"/>
  <c r="I102" i="2"/>
  <c r="G102" i="2"/>
  <c r="R77" i="2"/>
  <c r="H18" i="19" s="1"/>
  <c r="R82" i="2"/>
  <c r="H23" i="19" s="1"/>
  <c r="B112" i="2"/>
  <c r="D112" i="2" s="1"/>
  <c r="R18" i="19" s="1"/>
  <c r="Q25" i="2"/>
  <c r="Q46" i="2"/>
  <c r="B111" i="2"/>
  <c r="D111" i="2" s="1"/>
  <c r="Q24" i="2"/>
  <c r="O41" i="2"/>
  <c r="O42" i="2"/>
  <c r="O40" i="2"/>
  <c r="O44" i="2"/>
  <c r="B265" i="19"/>
  <c r="C90" i="29"/>
  <c r="E89" i="29"/>
  <c r="E53" i="29"/>
  <c r="C54" i="29"/>
  <c r="E18" i="29"/>
  <c r="C19" i="29"/>
  <c r="R83" i="2"/>
  <c r="H24" i="19" s="1"/>
  <c r="E102" i="2"/>
  <c r="R99" i="2"/>
  <c r="H40" i="19" s="1"/>
  <c r="R79" i="2"/>
  <c r="H20" i="19" s="1"/>
  <c r="J85" i="2"/>
  <c r="O84" i="2"/>
  <c r="B113" i="2"/>
  <c r="D113" i="2" s="1"/>
  <c r="R19" i="19" s="1"/>
  <c r="Q26" i="2"/>
  <c r="R97" i="9"/>
  <c r="N18" i="19"/>
  <c r="G28" i="8"/>
  <c r="N109" i="8" s="1"/>
  <c r="D117" i="13"/>
  <c r="B118" i="13"/>
  <c r="C102" i="2"/>
  <c r="R76" i="2"/>
  <c r="H14" i="17"/>
  <c r="E25" i="17"/>
  <c r="E29" i="8"/>
  <c r="C30" i="8"/>
  <c r="N32" i="14"/>
  <c r="O32" i="14" s="1"/>
  <c r="L33" i="14"/>
  <c r="E67" i="14"/>
  <c r="C68" i="14"/>
  <c r="L99" i="13"/>
  <c r="J109" i="13"/>
  <c r="C84" i="29"/>
  <c r="O61" i="13"/>
  <c r="R81" i="2"/>
  <c r="H22" i="19" s="1"/>
  <c r="R84" i="2"/>
  <c r="R80" i="2"/>
  <c r="H21" i="19" s="1"/>
  <c r="Q100" i="2"/>
  <c r="P100" i="2"/>
  <c r="B135" i="2" s="1"/>
  <c r="D135" i="2" s="1"/>
  <c r="Q45" i="2"/>
  <c r="R25" i="2"/>
  <c r="G18" i="19" s="1"/>
  <c r="O43" i="2"/>
  <c r="B274" i="19"/>
  <c r="I34" i="4" l="1"/>
  <c r="B30" i="17"/>
  <c r="H34" i="4"/>
  <c r="U6" i="19"/>
  <c r="L112" i="13"/>
  <c r="J20" i="19" s="1"/>
  <c r="Q99" i="2"/>
  <c r="K64" i="13"/>
  <c r="O64" i="13" s="1"/>
  <c r="I20" i="19" s="1"/>
  <c r="K65" i="13"/>
  <c r="O65" i="13" s="1"/>
  <c r="I21" i="19" s="1"/>
  <c r="L81" i="13"/>
  <c r="M81" i="13" s="1"/>
  <c r="G54" i="19"/>
  <c r="I54" i="19" s="1"/>
  <c r="D54" i="19"/>
  <c r="D59" i="25" s="1"/>
  <c r="B113" i="13"/>
  <c r="D113" i="13" s="1"/>
  <c r="I113" i="13" s="1"/>
  <c r="F116" i="13"/>
  <c r="L116" i="13" s="1"/>
  <c r="J24" i="19" s="1"/>
  <c r="H98" i="8"/>
  <c r="E98" i="8"/>
  <c r="C61" i="14"/>
  <c r="C62" i="14" s="1"/>
  <c r="E66" i="14"/>
  <c r="O24" i="19" s="1"/>
  <c r="H105" i="8"/>
  <c r="E105" i="8"/>
  <c r="H91" i="8"/>
  <c r="F91" i="8" s="1"/>
  <c r="E91" i="8"/>
  <c r="K96" i="8"/>
  <c r="D106" i="8"/>
  <c r="E59" i="14"/>
  <c r="O17" i="19" s="1"/>
  <c r="F66" i="31"/>
  <c r="E3" i="1" s="1"/>
  <c r="K89" i="8"/>
  <c r="J94" i="8"/>
  <c r="L96" i="8"/>
  <c r="K93" i="8"/>
  <c r="J103" i="8"/>
  <c r="K103" i="8"/>
  <c r="K84" i="8"/>
  <c r="K104" i="8"/>
  <c r="K97" i="8"/>
  <c r="J84" i="8"/>
  <c r="J89" i="8"/>
  <c r="K94" i="8"/>
  <c r="J104" i="8"/>
  <c r="F83" i="8"/>
  <c r="I83" i="8"/>
  <c r="G83" i="8" s="1"/>
  <c r="I98" i="8"/>
  <c r="G98" i="8" s="1"/>
  <c r="F98" i="8"/>
  <c r="J93" i="8"/>
  <c r="K90" i="8"/>
  <c r="J90" i="8"/>
  <c r="J97" i="8"/>
  <c r="D63" i="25"/>
  <c r="K58" i="19"/>
  <c r="K63" i="25" s="1"/>
  <c r="D65" i="25"/>
  <c r="L28" i="14"/>
  <c r="N28" i="14" s="1"/>
  <c r="O28" i="14" s="1"/>
  <c r="D36" i="31"/>
  <c r="S9" i="19" s="1"/>
  <c r="D45" i="31"/>
  <c r="S18" i="19" s="1"/>
  <c r="B37" i="31"/>
  <c r="C37" i="31" s="1"/>
  <c r="D37" i="31" s="1" a="1"/>
  <c r="C13" i="29"/>
  <c r="C14" i="29" s="1"/>
  <c r="K80" i="13"/>
  <c r="O80" i="13" s="1"/>
  <c r="I36" i="19" s="1"/>
  <c r="L65" i="13"/>
  <c r="M65" i="13" s="1"/>
  <c r="M64" i="13"/>
  <c r="L80" i="13"/>
  <c r="N80" i="13" s="1"/>
  <c r="L66" i="13"/>
  <c r="M66" i="13" s="1"/>
  <c r="L68" i="13"/>
  <c r="N68" i="13" s="1"/>
  <c r="L72" i="13"/>
  <c r="K81" i="13"/>
  <c r="O81" i="13" s="1"/>
  <c r="I37" i="19" s="1"/>
  <c r="L67" i="13"/>
  <c r="N67" i="13" s="1"/>
  <c r="L77" i="13"/>
  <c r="N77" i="13" s="1"/>
  <c r="K78" i="13"/>
  <c r="O78" i="13" s="1"/>
  <c r="I34" i="19" s="1"/>
  <c r="L73" i="13"/>
  <c r="M73" i="13" s="1"/>
  <c r="L74" i="13"/>
  <c r="M74" i="13" s="1"/>
  <c r="K68" i="13"/>
  <c r="O68" i="13" s="1"/>
  <c r="I24" i="19" s="1"/>
  <c r="K77" i="13"/>
  <c r="O77" i="13" s="1"/>
  <c r="I33" i="19" s="1"/>
  <c r="L71" i="13"/>
  <c r="N71" i="13" s="1"/>
  <c r="K76" i="13"/>
  <c r="O76" i="13" s="1"/>
  <c r="I32" i="19" s="1"/>
  <c r="L75" i="13"/>
  <c r="N75" i="13" s="1"/>
  <c r="K69" i="13"/>
  <c r="O69" i="13" s="1"/>
  <c r="I25" i="19" s="1"/>
  <c r="K70" i="13"/>
  <c r="O70" i="13" s="1"/>
  <c r="I26" i="19" s="1"/>
  <c r="F113" i="13"/>
  <c r="E36" i="1"/>
  <c r="G31" i="9" s="1"/>
  <c r="G87" i="9" s="1"/>
  <c r="F31" i="9"/>
  <c r="K72" i="13"/>
  <c r="O72" i="13" s="1"/>
  <c r="I28" i="19" s="1"/>
  <c r="D107" i="8"/>
  <c r="G83" i="19"/>
  <c r="L69" i="13"/>
  <c r="N69" i="13" s="1"/>
  <c r="K71" i="13"/>
  <c r="O71" i="13" s="1"/>
  <c r="F46" i="9"/>
  <c r="E46" i="9" s="1"/>
  <c r="F53" i="1"/>
  <c r="K75" i="13"/>
  <c r="O75" i="13" s="1"/>
  <c r="I31" i="19" s="1"/>
  <c r="L76" i="13"/>
  <c r="N76" i="13" s="1"/>
  <c r="L78" i="13"/>
  <c r="K66" i="13"/>
  <c r="O66" i="13" s="1"/>
  <c r="I22" i="19" s="1"/>
  <c r="K73" i="13"/>
  <c r="O73" i="13" s="1"/>
  <c r="I29" i="19" s="1"/>
  <c r="K67" i="13"/>
  <c r="O67" i="13" s="1"/>
  <c r="I23" i="19" s="1"/>
  <c r="I55" i="19"/>
  <c r="G60" i="25"/>
  <c r="F28" i="9"/>
  <c r="F33" i="1"/>
  <c r="D99" i="8"/>
  <c r="J97" i="9"/>
  <c r="L70" i="13"/>
  <c r="N70" i="13" s="1"/>
  <c r="L79" i="13"/>
  <c r="K79" i="13"/>
  <c r="O79" i="13" s="1"/>
  <c r="I35" i="19" s="1"/>
  <c r="K74" i="13"/>
  <c r="O74" i="13" s="1"/>
  <c r="I30" i="19" s="1"/>
  <c r="D29" i="2"/>
  <c r="E28" i="2"/>
  <c r="B28" i="2"/>
  <c r="C27" i="2"/>
  <c r="R27" i="2" s="1"/>
  <c r="G20" i="19" s="1"/>
  <c r="P27" i="2"/>
  <c r="J61" i="19"/>
  <c r="L82" i="13"/>
  <c r="K82" i="13"/>
  <c r="O82" i="13" s="1"/>
  <c r="I38" i="19" s="1"/>
  <c r="F22" i="19"/>
  <c r="K59" i="19"/>
  <c r="I64" i="25"/>
  <c r="K105" i="9"/>
  <c r="K106" i="9" s="1"/>
  <c r="E98" i="9" s="1"/>
  <c r="E100" i="9" s="1"/>
  <c r="G65" i="25"/>
  <c r="I60" i="19"/>
  <c r="K56" i="19"/>
  <c r="I61" i="25"/>
  <c r="N25" i="19"/>
  <c r="H25" i="19"/>
  <c r="O25" i="19"/>
  <c r="S83" i="2"/>
  <c r="D37" i="1" s="1"/>
  <c r="H17" i="19"/>
  <c r="J86" i="2"/>
  <c r="O85" i="2"/>
  <c r="M85" i="2"/>
  <c r="H157" i="19"/>
  <c r="U157" i="19" s="1"/>
  <c r="J268" i="19" s="1"/>
  <c r="U40" i="19"/>
  <c r="B275" i="19"/>
  <c r="M72" i="13"/>
  <c r="N72" i="13"/>
  <c r="E84" i="29"/>
  <c r="C85" i="29"/>
  <c r="C31" i="8"/>
  <c r="E30" i="8"/>
  <c r="Q22" i="19" s="1"/>
  <c r="B119" i="13"/>
  <c r="D118" i="13"/>
  <c r="C55" i="29"/>
  <c r="E54" i="29"/>
  <c r="L26" i="19" s="1"/>
  <c r="B266" i="19"/>
  <c r="E47" i="29"/>
  <c r="C48" i="29"/>
  <c r="N33" i="14"/>
  <c r="O33" i="14" s="1"/>
  <c r="N26" i="19" s="1"/>
  <c r="L34" i="14"/>
  <c r="Q21" i="19"/>
  <c r="B16" i="20"/>
  <c r="I14" i="17"/>
  <c r="G50" i="19"/>
  <c r="F117" i="13"/>
  <c r="I117" i="13"/>
  <c r="C20" i="29"/>
  <c r="E19" i="29"/>
  <c r="K26" i="19" s="1"/>
  <c r="L25" i="19"/>
  <c r="M25" i="19"/>
  <c r="R17" i="19"/>
  <c r="C46" i="31"/>
  <c r="D46" i="31" s="1" a="1"/>
  <c r="B47" i="31"/>
  <c r="N112" i="13"/>
  <c r="M109" i="13"/>
  <c r="J7" i="19"/>
  <c r="C69" i="14"/>
  <c r="E68" i="14"/>
  <c r="O26" i="19" s="1"/>
  <c r="P84" i="2"/>
  <c r="Q84" i="2"/>
  <c r="U41" i="19"/>
  <c r="H158" i="19"/>
  <c r="U158" i="19" s="1"/>
  <c r="J269" i="19" s="1"/>
  <c r="K25" i="19"/>
  <c r="C91" i="29"/>
  <c r="E90" i="29"/>
  <c r="M26" i="19" s="1"/>
  <c r="U7" i="19" l="1"/>
  <c r="I28" i="4"/>
  <c r="I24" i="4"/>
  <c r="I30" i="4"/>
  <c r="I23" i="4"/>
  <c r="I32" i="4" s="1"/>
  <c r="E13" i="29"/>
  <c r="N81" i="13"/>
  <c r="G59" i="25"/>
  <c r="E61" i="14"/>
  <c r="O19" i="19" s="1"/>
  <c r="M69" i="13"/>
  <c r="N74" i="13"/>
  <c r="M68" i="13"/>
  <c r="D53" i="19" s="1"/>
  <c r="D58" i="25" s="1"/>
  <c r="M80" i="13"/>
  <c r="B114" i="13"/>
  <c r="M71" i="13"/>
  <c r="M77" i="13"/>
  <c r="N73" i="13"/>
  <c r="H99" i="8"/>
  <c r="F99" i="8" s="1"/>
  <c r="E99" i="8"/>
  <c r="L94" i="8"/>
  <c r="F105" i="8"/>
  <c r="I105" i="8"/>
  <c r="G105" i="8" s="1"/>
  <c r="I91" i="8"/>
  <c r="G91" i="8" s="1"/>
  <c r="J91" i="8" s="1"/>
  <c r="H106" i="8"/>
  <c r="E106" i="8"/>
  <c r="H107" i="8"/>
  <c r="I107" i="8" s="1"/>
  <c r="G107" i="8" s="1"/>
  <c r="E107" i="8"/>
  <c r="B38" i="31"/>
  <c r="B39" i="31" s="1"/>
  <c r="L89" i="8"/>
  <c r="L90" i="8"/>
  <c r="K83" i="8"/>
  <c r="L93" i="8"/>
  <c r="L97" i="8"/>
  <c r="L104" i="8"/>
  <c r="L103" i="8"/>
  <c r="L84" i="8"/>
  <c r="K98" i="8"/>
  <c r="J98" i="8"/>
  <c r="J83" i="8"/>
  <c r="L29" i="14"/>
  <c r="N29" i="14" s="1"/>
  <c r="O29" i="14" s="1"/>
  <c r="N22" i="19" s="1"/>
  <c r="D46" i="31"/>
  <c r="S19" i="19" s="1"/>
  <c r="D37" i="31"/>
  <c r="N66" i="13"/>
  <c r="N65" i="13"/>
  <c r="F36" i="1"/>
  <c r="M67" i="13"/>
  <c r="O85" i="13"/>
  <c r="M70" i="13"/>
  <c r="M75" i="13"/>
  <c r="M76" i="13"/>
  <c r="L113" i="13"/>
  <c r="J21" i="19" s="1"/>
  <c r="E31" i="9"/>
  <c r="E28" i="9"/>
  <c r="F86" i="9"/>
  <c r="B114" i="2"/>
  <c r="D114" i="2" s="1"/>
  <c r="Q27" i="2"/>
  <c r="K87" i="13"/>
  <c r="I27" i="19"/>
  <c r="I43" i="19" s="1"/>
  <c r="C53" i="19" s="1"/>
  <c r="P83" i="13"/>
  <c r="E41" i="1" s="1"/>
  <c r="I35" i="9" s="1"/>
  <c r="K61" i="19"/>
  <c r="K66" i="25" s="1"/>
  <c r="J66" i="25"/>
  <c r="D100" i="8"/>
  <c r="P68" i="13"/>
  <c r="D41" i="1" s="1"/>
  <c r="M78" i="13"/>
  <c r="N78" i="13"/>
  <c r="D30" i="2"/>
  <c r="E29" i="2"/>
  <c r="N82" i="13"/>
  <c r="M82" i="13"/>
  <c r="B29" i="2"/>
  <c r="C28" i="2"/>
  <c r="R28" i="2" s="1"/>
  <c r="O28" i="2"/>
  <c r="P28" i="2"/>
  <c r="M79" i="13"/>
  <c r="N79" i="13"/>
  <c r="I60" i="25"/>
  <c r="K55" i="19"/>
  <c r="K60" i="25" s="1"/>
  <c r="E62" i="14"/>
  <c r="O20" i="19" s="1"/>
  <c r="C63" i="14"/>
  <c r="E87" i="9"/>
  <c r="B100" i="27" s="1"/>
  <c r="G91" i="9"/>
  <c r="G97" i="9" s="1"/>
  <c r="U83" i="19"/>
  <c r="F84" i="19" s="1"/>
  <c r="F23" i="19"/>
  <c r="K60" i="19"/>
  <c r="K65" i="25" s="1"/>
  <c r="I65" i="25"/>
  <c r="K61" i="25"/>
  <c r="K64" i="25"/>
  <c r="D50" i="19"/>
  <c r="N34" i="14"/>
  <c r="O34" i="14" s="1"/>
  <c r="N27" i="19" s="1"/>
  <c r="L35" i="14"/>
  <c r="K20" i="19"/>
  <c r="E48" i="29"/>
  <c r="L20" i="19" s="1"/>
  <c r="C49" i="29"/>
  <c r="M20" i="19"/>
  <c r="N21" i="19"/>
  <c r="C92" i="29"/>
  <c r="E91" i="29"/>
  <c r="M27" i="19" s="1"/>
  <c r="E69" i="14"/>
  <c r="O27" i="19" s="1"/>
  <c r="C70" i="14"/>
  <c r="E20" i="29"/>
  <c r="C21" i="29"/>
  <c r="K54" i="19"/>
  <c r="I59" i="25"/>
  <c r="L117" i="13"/>
  <c r="L19" i="19"/>
  <c r="B267" i="19"/>
  <c r="F118" i="13"/>
  <c r="I118" i="13"/>
  <c r="C32" i="8"/>
  <c r="E32" i="8" s="1"/>
  <c r="Q24" i="19" s="1"/>
  <c r="E31" i="8"/>
  <c r="R85" i="2"/>
  <c r="H32" i="9"/>
  <c r="C47" i="31"/>
  <c r="D47" i="31" s="1" a="1"/>
  <c r="B48" i="31"/>
  <c r="D119" i="13"/>
  <c r="B120" i="13"/>
  <c r="Q85" i="2"/>
  <c r="P85" i="2"/>
  <c r="I50" i="19"/>
  <c r="G55" i="25"/>
  <c r="E14" i="29"/>
  <c r="K21" i="19" s="1"/>
  <c r="C15" i="29"/>
  <c r="E55" i="29"/>
  <c r="C56" i="29"/>
  <c r="E85" i="29"/>
  <c r="M21" i="19" s="1"/>
  <c r="C86" i="29"/>
  <c r="B276" i="19"/>
  <c r="J87" i="2"/>
  <c r="O86" i="2"/>
  <c r="M86" i="2"/>
  <c r="R86" i="2" s="1"/>
  <c r="H27" i="19" s="1"/>
  <c r="C38" i="31" l="1"/>
  <c r="D38" i="31" s="1" a="1"/>
  <c r="G17" i="17"/>
  <c r="G53" i="19"/>
  <c r="B115" i="13"/>
  <c r="D115" i="13" s="1"/>
  <c r="D114" i="13"/>
  <c r="S10" i="19"/>
  <c r="I99" i="8"/>
  <c r="G99" i="8" s="1"/>
  <c r="F107" i="8"/>
  <c r="J107" i="8" s="1"/>
  <c r="F106" i="8"/>
  <c r="I106" i="8"/>
  <c r="G106" i="8" s="1"/>
  <c r="H100" i="8"/>
  <c r="F100" i="8" s="1"/>
  <c r="E100" i="8"/>
  <c r="K105" i="8"/>
  <c r="J105" i="8"/>
  <c r="K91" i="8"/>
  <c r="L91" i="8" s="1"/>
  <c r="M93" i="8" s="1"/>
  <c r="L30" i="14"/>
  <c r="N30" i="14" s="1"/>
  <c r="O30" i="14" s="1"/>
  <c r="N23" i="19" s="1"/>
  <c r="L83" i="8"/>
  <c r="L98" i="8"/>
  <c r="K107" i="8"/>
  <c r="J99" i="8"/>
  <c r="D38" i="31"/>
  <c r="S11" i="19" s="1"/>
  <c r="D47" i="31"/>
  <c r="S20" i="19" s="1"/>
  <c r="E53" i="19"/>
  <c r="C58" i="25"/>
  <c r="O109" i="19"/>
  <c r="F108" i="19"/>
  <c r="T104" i="19"/>
  <c r="T144" i="19" s="1"/>
  <c r="L85" i="19"/>
  <c r="L125" i="19" s="1"/>
  <c r="S112" i="19"/>
  <c r="S152" i="19" s="1"/>
  <c r="T85" i="19"/>
  <c r="T125" i="19" s="1"/>
  <c r="L90" i="19"/>
  <c r="L130" i="19" s="1"/>
  <c r="O89" i="19"/>
  <c r="O129" i="19" s="1"/>
  <c r="S90" i="19"/>
  <c r="P89" i="19"/>
  <c r="J90" i="19"/>
  <c r="J130" i="19" s="1"/>
  <c r="K93" i="19"/>
  <c r="K133" i="19" s="1"/>
  <c r="F87" i="19"/>
  <c r="F127" i="19" s="1"/>
  <c r="F99" i="19"/>
  <c r="F139" i="19" s="1"/>
  <c r="P111" i="19"/>
  <c r="G93" i="19"/>
  <c r="P112" i="19"/>
  <c r="F90" i="19"/>
  <c r="F130" i="19" s="1"/>
  <c r="I88" i="19"/>
  <c r="I128" i="19" s="1"/>
  <c r="T101" i="19"/>
  <c r="L89" i="19"/>
  <c r="L129" i="19" s="1"/>
  <c r="H112" i="19"/>
  <c r="R85" i="19"/>
  <c r="R125" i="19" s="1"/>
  <c r="T88" i="19"/>
  <c r="T128" i="19" s="1"/>
  <c r="O101" i="19"/>
  <c r="O141" i="19" s="1"/>
  <c r="F59" i="19" s="1"/>
  <c r="Q104" i="19"/>
  <c r="Q144" i="19" s="1"/>
  <c r="Q109" i="19"/>
  <c r="Q149" i="19" s="1"/>
  <c r="I89" i="19"/>
  <c r="I129" i="19" s="1"/>
  <c r="T90" i="19"/>
  <c r="T130" i="19" s="1"/>
  <c r="F106" i="19"/>
  <c r="G111" i="19"/>
  <c r="G151" i="19" s="1"/>
  <c r="M93" i="19"/>
  <c r="M133" i="19" s="1"/>
  <c r="F104" i="19"/>
  <c r="T115" i="19"/>
  <c r="T155" i="19" s="1"/>
  <c r="J107" i="19"/>
  <c r="T105" i="19"/>
  <c r="T145" i="19" s="1"/>
  <c r="M105" i="19"/>
  <c r="K103" i="19"/>
  <c r="K143" i="19" s="1"/>
  <c r="Q115" i="19"/>
  <c r="Q155" i="19" s="1"/>
  <c r="I99" i="19"/>
  <c r="I139" i="19" s="1"/>
  <c r="L87" i="19"/>
  <c r="L127" i="19" s="1"/>
  <c r="T113" i="19"/>
  <c r="T153" i="19" s="1"/>
  <c r="L94" i="19"/>
  <c r="L134" i="19" s="1"/>
  <c r="S114" i="19"/>
  <c r="S154" i="19" s="1"/>
  <c r="J86" i="19"/>
  <c r="J126" i="19" s="1"/>
  <c r="L100" i="19"/>
  <c r="Q108" i="19"/>
  <c r="Q148" i="19" s="1"/>
  <c r="G106" i="19"/>
  <c r="T91" i="19"/>
  <c r="T131" i="19" s="1"/>
  <c r="N108" i="19"/>
  <c r="G107" i="19"/>
  <c r="K113" i="19"/>
  <c r="K108" i="19"/>
  <c r="F86" i="19"/>
  <c r="F126" i="19" s="1"/>
  <c r="S103" i="19"/>
  <c r="S143" i="19" s="1"/>
  <c r="N110" i="19"/>
  <c r="G92" i="19"/>
  <c r="G132" i="19" s="1"/>
  <c r="P98" i="19"/>
  <c r="M84" i="19"/>
  <c r="M124" i="19" s="1"/>
  <c r="S87" i="19"/>
  <c r="S127" i="19" s="1"/>
  <c r="R96" i="19"/>
  <c r="R136" i="19" s="1"/>
  <c r="L102" i="19"/>
  <c r="L142" i="19" s="1"/>
  <c r="I97" i="19"/>
  <c r="I137" i="19" s="1"/>
  <c r="P116" i="19"/>
  <c r="H113" i="19"/>
  <c r="R113" i="19"/>
  <c r="T108" i="19"/>
  <c r="T148" i="19" s="1"/>
  <c r="G116" i="19"/>
  <c r="G156" i="19" s="1"/>
  <c r="Q92" i="19"/>
  <c r="Q132" i="19" s="1"/>
  <c r="P114" i="19"/>
  <c r="S116" i="19"/>
  <c r="S156" i="19" s="1"/>
  <c r="M86" i="19"/>
  <c r="M126" i="19" s="1"/>
  <c r="Q110" i="19"/>
  <c r="Q150" i="19" s="1"/>
  <c r="S102" i="19"/>
  <c r="S142" i="19" s="1"/>
  <c r="S91" i="19"/>
  <c r="H116" i="19"/>
  <c r="T87" i="19"/>
  <c r="T127" i="19" s="1"/>
  <c r="J105" i="19"/>
  <c r="R94" i="19"/>
  <c r="R134" i="19" s="1"/>
  <c r="I114" i="19"/>
  <c r="I154" i="19" s="1"/>
  <c r="N86" i="19"/>
  <c r="N126" i="19" s="1"/>
  <c r="H100" i="19"/>
  <c r="H140" i="19" s="1"/>
  <c r="F103" i="19"/>
  <c r="O97" i="19"/>
  <c r="O137" i="19" s="1"/>
  <c r="O110" i="19"/>
  <c r="F115" i="19"/>
  <c r="O114" i="19"/>
  <c r="L113" i="19"/>
  <c r="N97" i="19"/>
  <c r="N137" i="19" s="1"/>
  <c r="H92" i="19"/>
  <c r="H132" i="19" s="1"/>
  <c r="G85" i="19"/>
  <c r="G125" i="19" s="1"/>
  <c r="F91" i="19"/>
  <c r="F131" i="19" s="1"/>
  <c r="S109" i="19"/>
  <c r="S149" i="19" s="1"/>
  <c r="Q90" i="19"/>
  <c r="Q130" i="19" s="1"/>
  <c r="J88" i="19"/>
  <c r="J128" i="19" s="1"/>
  <c r="S101" i="19"/>
  <c r="K89" i="19"/>
  <c r="K129" i="19" s="1"/>
  <c r="O112" i="19"/>
  <c r="H85" i="19"/>
  <c r="H125" i="19" s="1"/>
  <c r="L88" i="19"/>
  <c r="L128" i="19" s="1"/>
  <c r="G101" i="19"/>
  <c r="M89" i="19"/>
  <c r="M129" i="19" s="1"/>
  <c r="L112" i="19"/>
  <c r="Q85" i="19"/>
  <c r="Q125" i="19" s="1"/>
  <c r="F111" i="19"/>
  <c r="I93" i="19"/>
  <c r="L104" i="19"/>
  <c r="F109" i="19"/>
  <c r="G112" i="19"/>
  <c r="G152" i="19" s="1"/>
  <c r="N90" i="19"/>
  <c r="N130" i="19" s="1"/>
  <c r="Q88" i="19"/>
  <c r="Q128" i="19" s="1"/>
  <c r="H101" i="19"/>
  <c r="H141" i="19" s="1"/>
  <c r="F89" i="19"/>
  <c r="F129" i="19" s="1"/>
  <c r="R112" i="19"/>
  <c r="O107" i="19"/>
  <c r="J99" i="19"/>
  <c r="Q102" i="19"/>
  <c r="Q142" i="19" s="1"/>
  <c r="P102" i="19"/>
  <c r="K100" i="19"/>
  <c r="P99" i="19"/>
  <c r="L97" i="19"/>
  <c r="L137" i="19" s="1"/>
  <c r="J115" i="19"/>
  <c r="H99" i="19"/>
  <c r="H139" i="19" s="1"/>
  <c r="Q94" i="19"/>
  <c r="Q134" i="19" s="1"/>
  <c r="J98" i="19"/>
  <c r="J138" i="19" s="1"/>
  <c r="P86" i="19"/>
  <c r="P126" i="19" s="1"/>
  <c r="I87" i="19"/>
  <c r="I127" i="19" s="1"/>
  <c r="L108" i="19"/>
  <c r="O113" i="19"/>
  <c r="J95" i="19"/>
  <c r="J135" i="19" s="1"/>
  <c r="Q116" i="19"/>
  <c r="Q156" i="19" s="1"/>
  <c r="M107" i="19"/>
  <c r="F110" i="19"/>
  <c r="Q114" i="19"/>
  <c r="Q154" i="19" s="1"/>
  <c r="F95" i="19"/>
  <c r="F135" i="19" s="1"/>
  <c r="R102" i="19"/>
  <c r="K107" i="19"/>
  <c r="S94" i="19"/>
  <c r="S134" i="19" s="1"/>
  <c r="T98" i="19"/>
  <c r="Q86" i="19"/>
  <c r="Q126" i="19" s="1"/>
  <c r="I100" i="19"/>
  <c r="I140" i="19" s="1"/>
  <c r="J103" i="19"/>
  <c r="G102" i="19"/>
  <c r="L91" i="19"/>
  <c r="L131" i="19" s="1"/>
  <c r="M116" i="19"/>
  <c r="T107" i="19"/>
  <c r="T147" i="19" s="1"/>
  <c r="N100" i="19"/>
  <c r="G97" i="19"/>
  <c r="G137" i="19" s="1"/>
  <c r="S96" i="19"/>
  <c r="S136" i="19" s="1"/>
  <c r="T92" i="19"/>
  <c r="T132" i="19" s="1"/>
  <c r="T114" i="19"/>
  <c r="T154" i="19" s="1"/>
  <c r="G84" i="19"/>
  <c r="G124" i="19" s="1"/>
  <c r="G95" i="19"/>
  <c r="G135" i="19" s="1"/>
  <c r="G96" i="19"/>
  <c r="G136" i="19" s="1"/>
  <c r="O105" i="19"/>
  <c r="M97" i="19"/>
  <c r="M137" i="19" s="1"/>
  <c r="J116" i="19"/>
  <c r="M99" i="19"/>
  <c r="J113" i="19"/>
  <c r="P94" i="19"/>
  <c r="O98" i="19"/>
  <c r="L86" i="19"/>
  <c r="L126" i="19" s="1"/>
  <c r="K116" i="19"/>
  <c r="H108" i="19"/>
  <c r="K91" i="19"/>
  <c r="K131" i="19" s="1"/>
  <c r="M95" i="19"/>
  <c r="M135" i="19" s="1"/>
  <c r="Q105" i="19"/>
  <c r="Q145" i="19" s="1"/>
  <c r="G98" i="19"/>
  <c r="H87" i="19"/>
  <c r="H127" i="19" s="1"/>
  <c r="N105" i="19"/>
  <c r="T111" i="19"/>
  <c r="T151" i="19" s="1"/>
  <c r="T93" i="19"/>
  <c r="T133" i="19" s="1"/>
  <c r="S88" i="19"/>
  <c r="H104" i="19"/>
  <c r="H144" i="19" s="1"/>
  <c r="I85" i="19"/>
  <c r="I125" i="19" s="1"/>
  <c r="S93" i="19"/>
  <c r="P109" i="19"/>
  <c r="F113" i="19"/>
  <c r="N89" i="19"/>
  <c r="N129" i="19" s="1"/>
  <c r="J111" i="19"/>
  <c r="K85" i="19"/>
  <c r="K125" i="19" s="1"/>
  <c r="L101" i="19"/>
  <c r="L141" i="19" s="1"/>
  <c r="F56" i="19" s="1"/>
  <c r="L56" i="19" s="1"/>
  <c r="N112" i="19"/>
  <c r="M113" i="19"/>
  <c r="Q99" i="19"/>
  <c r="Q139" i="19" s="1"/>
  <c r="M115" i="19"/>
  <c r="L116" i="19"/>
  <c r="I107" i="19"/>
  <c r="I147" i="19" s="1"/>
  <c r="H95" i="19"/>
  <c r="H135" i="19" s="1"/>
  <c r="T102" i="19"/>
  <c r="T142" i="19" s="1"/>
  <c r="M108" i="19"/>
  <c r="O115" i="19"/>
  <c r="O155" i="19" s="1"/>
  <c r="L98" i="19"/>
  <c r="J91" i="19"/>
  <c r="J131" i="19" s="1"/>
  <c r="F94" i="19"/>
  <c r="F134" i="19" s="1"/>
  <c r="O86" i="19"/>
  <c r="O126" i="19" s="1"/>
  <c r="I108" i="19"/>
  <c r="I148" i="19" s="1"/>
  <c r="P96" i="19"/>
  <c r="G115" i="19"/>
  <c r="G155" i="19" s="1"/>
  <c r="S97" i="19"/>
  <c r="K94" i="19"/>
  <c r="K134" i="19" s="1"/>
  <c r="K84" i="19"/>
  <c r="K124" i="19" s="1"/>
  <c r="T103" i="19"/>
  <c r="T143" i="19" s="1"/>
  <c r="G113" i="19"/>
  <c r="G153" i="19" s="1"/>
  <c r="L107" i="19"/>
  <c r="G108" i="19"/>
  <c r="T95" i="19"/>
  <c r="K102" i="19"/>
  <c r="K142" i="19" s="1"/>
  <c r="T99" i="19"/>
  <c r="H102" i="19"/>
  <c r="H142" i="19" s="1"/>
  <c r="S115" i="19"/>
  <c r="S155" i="19" s="1"/>
  <c r="H94" i="19"/>
  <c r="H134" i="19" s="1"/>
  <c r="S98" i="19"/>
  <c r="H86" i="19"/>
  <c r="H126" i="19" s="1"/>
  <c r="N95" i="19"/>
  <c r="N135" i="19" s="1"/>
  <c r="J87" i="19"/>
  <c r="J127" i="19" s="1"/>
  <c r="K97" i="19"/>
  <c r="K137" i="19" s="1"/>
  <c r="N116" i="19"/>
  <c r="N156" i="19" s="1"/>
  <c r="N113" i="19"/>
  <c r="P113" i="19"/>
  <c r="N114" i="19"/>
  <c r="I84" i="19"/>
  <c r="I124" i="19" s="1"/>
  <c r="I95" i="19"/>
  <c r="I135" i="19" s="1"/>
  <c r="S100" i="19"/>
  <c r="S108" i="19"/>
  <c r="S148" i="19" s="1"/>
  <c r="M87" i="19"/>
  <c r="M127" i="19" s="1"/>
  <c r="L105" i="19"/>
  <c r="G110" i="19"/>
  <c r="G150" i="19" s="1"/>
  <c r="P115" i="19"/>
  <c r="I110" i="19"/>
  <c r="I150" i="19" s="1"/>
  <c r="R98" i="19"/>
  <c r="T86" i="19"/>
  <c r="T126" i="19" s="1"/>
  <c r="J100" i="19"/>
  <c r="J108" i="19"/>
  <c r="O106" i="19"/>
  <c r="M91" i="19"/>
  <c r="M131" i="19" s="1"/>
  <c r="R116" i="19"/>
  <c r="H115" i="19"/>
  <c r="J93" i="19"/>
  <c r="J133" i="19" s="1"/>
  <c r="F85" i="19"/>
  <c r="F125" i="19" s="1"/>
  <c r="N111" i="19"/>
  <c r="R93" i="19"/>
  <c r="R133" i="19" s="1"/>
  <c r="R104" i="19"/>
  <c r="M104" i="19"/>
  <c r="M144" i="19" s="1"/>
  <c r="F97" i="19"/>
  <c r="F137" i="19" s="1"/>
  <c r="N85" i="19"/>
  <c r="N125" i="19" s="1"/>
  <c r="R111" i="19"/>
  <c r="P93" i="19"/>
  <c r="J104" i="19"/>
  <c r="K109" i="19"/>
  <c r="S85" i="19"/>
  <c r="S125" i="19" s="1"/>
  <c r="J101" i="19"/>
  <c r="J141" i="19" s="1"/>
  <c r="F54" i="19" s="1"/>
  <c r="L54" i="19" s="1"/>
  <c r="L59" i="25" s="1"/>
  <c r="P90" i="19"/>
  <c r="N101" i="19"/>
  <c r="N141" i="19" s="1"/>
  <c r="F58" i="19" s="1"/>
  <c r="L58" i="19" s="1"/>
  <c r="I109" i="19"/>
  <c r="I149" i="19" s="1"/>
  <c r="S111" i="19"/>
  <c r="S151" i="19" s="1"/>
  <c r="P104" i="19"/>
  <c r="I90" i="19"/>
  <c r="I130" i="19" s="1"/>
  <c r="Q112" i="19"/>
  <c r="Q152" i="19" s="1"/>
  <c r="H88" i="19"/>
  <c r="H128" i="19" s="1"/>
  <c r="O99" i="19"/>
  <c r="H96" i="19"/>
  <c r="H136" i="19" s="1"/>
  <c r="R92" i="19"/>
  <c r="R132" i="19" s="1"/>
  <c r="J96" i="19"/>
  <c r="J136" i="19" s="1"/>
  <c r="K110" i="19"/>
  <c r="G91" i="19"/>
  <c r="G131" i="19" s="1"/>
  <c r="O91" i="19"/>
  <c r="O131" i="19" s="1"/>
  <c r="N106" i="19"/>
  <c r="J94" i="19"/>
  <c r="J134" i="19" s="1"/>
  <c r="H98" i="19"/>
  <c r="H138" i="19" s="1"/>
  <c r="H107" i="19"/>
  <c r="I92" i="19"/>
  <c r="I132" i="19" s="1"/>
  <c r="M96" i="19"/>
  <c r="M136" i="19" s="1"/>
  <c r="Q113" i="19"/>
  <c r="Q153" i="19" s="1"/>
  <c r="K92" i="19"/>
  <c r="K132" i="19" s="1"/>
  <c r="L84" i="19"/>
  <c r="L124" i="19" s="1"/>
  <c r="P103" i="19"/>
  <c r="I91" i="19"/>
  <c r="I131" i="19" s="1"/>
  <c r="N107" i="19"/>
  <c r="F98" i="19"/>
  <c r="F138" i="19" s="1"/>
  <c r="G87" i="19"/>
  <c r="G127" i="19" s="1"/>
  <c r="H106" i="19"/>
  <c r="F116" i="19"/>
  <c r="T94" i="19"/>
  <c r="L95" i="19"/>
  <c r="L135" i="19" s="1"/>
  <c r="K96" i="19"/>
  <c r="K136" i="19" s="1"/>
  <c r="M100" i="19"/>
  <c r="H105" i="19"/>
  <c r="T109" i="19"/>
  <c r="T149" i="19" s="1"/>
  <c r="R88" i="19"/>
  <c r="R128" i="19" s="1"/>
  <c r="G89" i="19"/>
  <c r="G129" i="19" s="1"/>
  <c r="F96" i="19"/>
  <c r="F136" i="19" s="1"/>
  <c r="F88" i="19"/>
  <c r="F128" i="19" s="1"/>
  <c r="T89" i="19"/>
  <c r="T129" i="19" s="1"/>
  <c r="M88" i="19"/>
  <c r="M128" i="19" s="1"/>
  <c r="M112" i="19"/>
  <c r="P85" i="19"/>
  <c r="P125" i="19" s="1"/>
  <c r="H93" i="19"/>
  <c r="L109" i="19"/>
  <c r="I111" i="19"/>
  <c r="I151" i="19" s="1"/>
  <c r="O104" i="19"/>
  <c r="O144" i="19" s="1"/>
  <c r="R101" i="19"/>
  <c r="T112" i="19"/>
  <c r="T152" i="19" s="1"/>
  <c r="L111" i="19"/>
  <c r="R115" i="19"/>
  <c r="Q91" i="19"/>
  <c r="Q131" i="19" s="1"/>
  <c r="M92" i="19"/>
  <c r="M132" i="19" s="1"/>
  <c r="G103" i="19"/>
  <c r="P110" i="19"/>
  <c r="T96" i="19"/>
  <c r="O84" i="19"/>
  <c r="O124" i="19" s="1"/>
  <c r="L106" i="19"/>
  <c r="T100" i="19"/>
  <c r="I98" i="19"/>
  <c r="I138" i="19" s="1"/>
  <c r="P97" i="19"/>
  <c r="S92" i="19"/>
  <c r="Q103" i="19"/>
  <c r="Q143" i="19" s="1"/>
  <c r="L92" i="19"/>
  <c r="L132" i="19" s="1"/>
  <c r="N94" i="19"/>
  <c r="N134" i="19" s="1"/>
  <c r="S86" i="19"/>
  <c r="M103" i="19"/>
  <c r="M143" i="19" s="1"/>
  <c r="N103" i="19"/>
  <c r="N143" i="19" s="1"/>
  <c r="S104" i="19"/>
  <c r="S144" i="19" s="1"/>
  <c r="N109" i="19"/>
  <c r="M111" i="19"/>
  <c r="K104" i="19"/>
  <c r="F102" i="19"/>
  <c r="O93" i="19"/>
  <c r="O133" i="19" s="1"/>
  <c r="M109" i="19"/>
  <c r="N88" i="19"/>
  <c r="N128" i="19" s="1"/>
  <c r="H89" i="19"/>
  <c r="H129" i="19" s="1"/>
  <c r="K101" i="19"/>
  <c r="K141" i="19" s="1"/>
  <c r="F55" i="19" s="1"/>
  <c r="M85" i="19"/>
  <c r="M125" i="19" s="1"/>
  <c r="Q93" i="19"/>
  <c r="Q133" i="19" s="1"/>
  <c r="R109" i="19"/>
  <c r="Q107" i="19"/>
  <c r="Q147" i="19" s="1"/>
  <c r="T116" i="19"/>
  <c r="T156" i="19" s="1"/>
  <c r="L103" i="19"/>
  <c r="L143" i="19" s="1"/>
  <c r="N91" i="19"/>
  <c r="N131" i="19" s="1"/>
  <c r="K114" i="19"/>
  <c r="Q100" i="19"/>
  <c r="M102" i="19"/>
  <c r="M142" i="19" s="1"/>
  <c r="R87" i="19"/>
  <c r="R127" i="19" s="1"/>
  <c r="K105" i="19"/>
  <c r="T84" i="19"/>
  <c r="T124" i="19" s="1"/>
  <c r="T97" i="19"/>
  <c r="J114" i="19"/>
  <c r="O95" i="19"/>
  <c r="O135" i="19" s="1"/>
  <c r="L115" i="19"/>
  <c r="H110" i="19"/>
  <c r="R105" i="19"/>
  <c r="I102" i="19"/>
  <c r="I142" i="19" s="1"/>
  <c r="G94" i="19"/>
  <c r="G134" i="19" s="1"/>
  <c r="I86" i="19"/>
  <c r="I126" i="19" s="1"/>
  <c r="P108" i="19"/>
  <c r="K95" i="19"/>
  <c r="K135" i="19" s="1"/>
  <c r="N115" i="19"/>
  <c r="H114" i="19"/>
  <c r="P87" i="19"/>
  <c r="P127" i="19" s="1"/>
  <c r="K106" i="19"/>
  <c r="S107" i="19"/>
  <c r="S147" i="19" s="1"/>
  <c r="F124" i="19"/>
  <c r="S113" i="19"/>
  <c r="S153" i="19" s="1"/>
  <c r="G114" i="19"/>
  <c r="G154" i="19" s="1"/>
  <c r="Q84" i="19"/>
  <c r="Q124" i="19" s="1"/>
  <c r="Q95" i="19"/>
  <c r="Q135" i="19" s="1"/>
  <c r="L96" i="19"/>
  <c r="L136" i="19" s="1"/>
  <c r="J102" i="19"/>
  <c r="H97" i="19"/>
  <c r="H137" i="19" s="1"/>
  <c r="T110" i="19"/>
  <c r="T150" i="19" s="1"/>
  <c r="S99" i="19"/>
  <c r="O92" i="19"/>
  <c r="O132" i="19" s="1"/>
  <c r="M114" i="19"/>
  <c r="S84" i="19"/>
  <c r="S124" i="19" s="1"/>
  <c r="R95" i="19"/>
  <c r="R135" i="19" s="1"/>
  <c r="O96" i="19"/>
  <c r="O136" i="19" s="1"/>
  <c r="O102" i="19"/>
  <c r="O142" i="19" s="1"/>
  <c r="R97" i="19"/>
  <c r="R103" i="19"/>
  <c r="S106" i="19"/>
  <c r="S146" i="19" s="1"/>
  <c r="N92" i="19"/>
  <c r="N132" i="19" s="1"/>
  <c r="F114" i="19"/>
  <c r="P84" i="19"/>
  <c r="P124" i="19" s="1"/>
  <c r="P95" i="19"/>
  <c r="O100" i="19"/>
  <c r="O108" i="19"/>
  <c r="Q106" i="19"/>
  <c r="Q146" i="19" s="1"/>
  <c r="P91" i="19"/>
  <c r="S110" i="19"/>
  <c r="S150" i="19" s="1"/>
  <c r="S105" i="19"/>
  <c r="S145" i="19" s="1"/>
  <c r="I104" i="19"/>
  <c r="I144" i="19" s="1"/>
  <c r="M90" i="19"/>
  <c r="M130" i="19" s="1"/>
  <c r="F105" i="19"/>
  <c r="O111" i="19"/>
  <c r="F93" i="19"/>
  <c r="N104" i="19"/>
  <c r="N144" i="19" s="1"/>
  <c r="K90" i="19"/>
  <c r="K130" i="19" s="1"/>
  <c r="F107" i="19"/>
  <c r="H111" i="19"/>
  <c r="N93" i="19"/>
  <c r="N133" i="19" s="1"/>
  <c r="I112" i="19"/>
  <c r="I152" i="19" s="1"/>
  <c r="F100" i="19"/>
  <c r="F140" i="19" s="1"/>
  <c r="Q111" i="19"/>
  <c r="Q151" i="19" s="1"/>
  <c r="F112" i="19"/>
  <c r="Q89" i="19"/>
  <c r="Q129" i="19" s="1"/>
  <c r="K115" i="19"/>
  <c r="I96" i="19"/>
  <c r="I136" i="19" s="1"/>
  <c r="H84" i="19"/>
  <c r="H124" i="19" s="1"/>
  <c r="G105" i="19"/>
  <c r="P92" i="19"/>
  <c r="I113" i="19"/>
  <c r="I153" i="19" s="1"/>
  <c r="R107" i="19"/>
  <c r="R110" i="19"/>
  <c r="L99" i="19"/>
  <c r="K87" i="19"/>
  <c r="K127" i="19" s="1"/>
  <c r="J110" i="19"/>
  <c r="Q98" i="19"/>
  <c r="Q138" i="19" s="1"/>
  <c r="Q96" i="19"/>
  <c r="Q136" i="19" s="1"/>
  <c r="I103" i="19"/>
  <c r="I143" i="19" s="1"/>
  <c r="R114" i="19"/>
  <c r="S95" i="19"/>
  <c r="S135" i="19" s="1"/>
  <c r="P106" i="19"/>
  <c r="M110" i="19"/>
  <c r="F92" i="19"/>
  <c r="F132" i="19" s="1"/>
  <c r="K86" i="19"/>
  <c r="K126" i="19" s="1"/>
  <c r="H103" i="19"/>
  <c r="Q87" i="19"/>
  <c r="Q127" i="19" s="1"/>
  <c r="G99" i="19"/>
  <c r="L114" i="19"/>
  <c r="N84" i="19"/>
  <c r="G100" i="19"/>
  <c r="M106" i="19"/>
  <c r="K111" i="19"/>
  <c r="O90" i="19"/>
  <c r="O130" i="19" s="1"/>
  <c r="I101" i="19"/>
  <c r="I141" i="19" s="1"/>
  <c r="F53" i="19" s="1"/>
  <c r="F58" i="25" s="1"/>
  <c r="J112" i="19"/>
  <c r="L93" i="19"/>
  <c r="L133" i="19" s="1"/>
  <c r="H90" i="19"/>
  <c r="H130" i="19" s="1"/>
  <c r="Q101" i="19"/>
  <c r="Q141" i="19" s="1"/>
  <c r="F62" i="19" s="1"/>
  <c r="K112" i="19"/>
  <c r="R90" i="19"/>
  <c r="R130" i="19" s="1"/>
  <c r="G109" i="19"/>
  <c r="G104" i="19"/>
  <c r="P107" i="19"/>
  <c r="R91" i="19"/>
  <c r="R131" i="19" s="1"/>
  <c r="R84" i="19"/>
  <c r="R124" i="19" s="1"/>
  <c r="Q97" i="19"/>
  <c r="Q137" i="19" s="1"/>
  <c r="O94" i="19"/>
  <c r="O134" i="19" s="1"/>
  <c r="J92" i="19"/>
  <c r="J132" i="19" s="1"/>
  <c r="N96" i="19"/>
  <c r="N136" i="19" s="1"/>
  <c r="I116" i="19"/>
  <c r="I156" i="19" s="1"/>
  <c r="I105" i="19"/>
  <c r="I145" i="19" s="1"/>
  <c r="P100" i="19"/>
  <c r="I115" i="19"/>
  <c r="I155" i="19" s="1"/>
  <c r="J84" i="19"/>
  <c r="J124" i="19" s="1"/>
  <c r="O116" i="19"/>
  <c r="O156" i="19" s="1"/>
  <c r="J106" i="19"/>
  <c r="N98" i="19"/>
  <c r="N138" i="19" s="1"/>
  <c r="O87" i="19"/>
  <c r="O127" i="19" s="1"/>
  <c r="T106" i="19"/>
  <c r="T146" i="19" s="1"/>
  <c r="R99" i="19"/>
  <c r="M94" i="19"/>
  <c r="M134" i="19" s="1"/>
  <c r="R108" i="19"/>
  <c r="K99" i="19"/>
  <c r="N87" i="19"/>
  <c r="N127" i="19" s="1"/>
  <c r="R106" i="19"/>
  <c r="O85" i="19"/>
  <c r="O125" i="19" s="1"/>
  <c r="J109" i="19"/>
  <c r="R89" i="19"/>
  <c r="R129" i="19" s="1"/>
  <c r="G86" i="19"/>
  <c r="G126" i="19" s="1"/>
  <c r="K98" i="19"/>
  <c r="K138" i="19" s="1"/>
  <c r="P101" i="19"/>
  <c r="K88" i="19"/>
  <c r="K128" i="19" s="1"/>
  <c r="P105" i="19"/>
  <c r="L110" i="19"/>
  <c r="J97" i="19"/>
  <c r="J137" i="19" s="1"/>
  <c r="J89" i="19"/>
  <c r="J129" i="19" s="1"/>
  <c r="F101" i="19"/>
  <c r="M98" i="19"/>
  <c r="M138" i="19" s="1"/>
  <c r="I106" i="19"/>
  <c r="I146" i="19" s="1"/>
  <c r="I94" i="19"/>
  <c r="I134" i="19" s="1"/>
  <c r="O103" i="19"/>
  <c r="O143" i="19" s="1"/>
  <c r="N99" i="19"/>
  <c r="N139" i="19" s="1"/>
  <c r="P88" i="19"/>
  <c r="P128" i="19" s="1"/>
  <c r="O88" i="19"/>
  <c r="O128" i="19" s="1"/>
  <c r="J85" i="19"/>
  <c r="J125" i="19" s="1"/>
  <c r="H109" i="19"/>
  <c r="H91" i="19"/>
  <c r="H131" i="19" s="1"/>
  <c r="N102" i="19"/>
  <c r="N142" i="19" s="1"/>
  <c r="M101" i="19"/>
  <c r="M141" i="19" s="1"/>
  <c r="F57" i="19" s="1"/>
  <c r="R100" i="19"/>
  <c r="R86" i="19"/>
  <c r="R126" i="19" s="1"/>
  <c r="S89" i="19"/>
  <c r="B30" i="2"/>
  <c r="C29" i="2"/>
  <c r="R29" i="2" s="1"/>
  <c r="G22" i="19" s="1"/>
  <c r="P29" i="2"/>
  <c r="Q28" i="2"/>
  <c r="B115" i="2"/>
  <c r="D115" i="2" s="1"/>
  <c r="R21" i="19" s="1"/>
  <c r="G88" i="19"/>
  <c r="G128" i="19" s="1"/>
  <c r="D101" i="8"/>
  <c r="R20" i="19"/>
  <c r="D31" i="2"/>
  <c r="E30" i="2"/>
  <c r="G90" i="19"/>
  <c r="G130" i="19" s="1"/>
  <c r="E63" i="14"/>
  <c r="O21" i="19" s="1"/>
  <c r="C64" i="14"/>
  <c r="C39" i="31"/>
  <c r="D39" i="31" s="1" a="1"/>
  <c r="B40" i="31"/>
  <c r="G21" i="19"/>
  <c r="O29" i="2"/>
  <c r="H35" i="9"/>
  <c r="E35" i="9" s="1"/>
  <c r="F41" i="1"/>
  <c r="F91" i="9"/>
  <c r="F97" i="9" s="1"/>
  <c r="E86" i="9"/>
  <c r="B99" i="27" s="1"/>
  <c r="F24" i="19"/>
  <c r="Q86" i="2"/>
  <c r="P86" i="2"/>
  <c r="B121" i="13"/>
  <c r="D120" i="13"/>
  <c r="H26" i="19"/>
  <c r="L118" i="13"/>
  <c r="J26" i="19" s="1"/>
  <c r="K59" i="25"/>
  <c r="E49" i="29"/>
  <c r="C50" i="29"/>
  <c r="J88" i="2"/>
  <c r="O87" i="2"/>
  <c r="M87" i="2"/>
  <c r="R87" i="2" s="1"/>
  <c r="H28" i="19" s="1"/>
  <c r="B277" i="19"/>
  <c r="C57" i="29"/>
  <c r="E56" i="29"/>
  <c r="L28" i="19" s="1"/>
  <c r="F119" i="13"/>
  <c r="I119" i="13"/>
  <c r="C48" i="31"/>
  <c r="D48" i="31" s="1" a="1"/>
  <c r="B49" i="31"/>
  <c r="Q23" i="19"/>
  <c r="F32" i="8"/>
  <c r="D81" i="1" s="1"/>
  <c r="B268" i="19"/>
  <c r="C22" i="29"/>
  <c r="E21" i="29"/>
  <c r="K28" i="19" s="1"/>
  <c r="I53" i="19"/>
  <c r="G58" i="25"/>
  <c r="C93" i="29"/>
  <c r="E92" i="29"/>
  <c r="N35" i="14"/>
  <c r="O35" i="14" s="1"/>
  <c r="L36" i="14"/>
  <c r="D55" i="25"/>
  <c r="L27" i="19"/>
  <c r="K50" i="19"/>
  <c r="I55" i="25"/>
  <c r="J25" i="19"/>
  <c r="K27" i="19"/>
  <c r="E86" i="29"/>
  <c r="M22" i="19" s="1"/>
  <c r="C87" i="29"/>
  <c r="E87" i="29" s="1"/>
  <c r="M23" i="19" s="1"/>
  <c r="E15" i="29"/>
  <c r="K22" i="19" s="1"/>
  <c r="C16" i="29"/>
  <c r="E16" i="29" s="1"/>
  <c r="K23" i="19" s="1"/>
  <c r="C71" i="14"/>
  <c r="E70" i="14"/>
  <c r="H17" i="17"/>
  <c r="K99" i="8" l="1"/>
  <c r="N124" i="19"/>
  <c r="N119" i="19"/>
  <c r="G133" i="19"/>
  <c r="G119" i="19"/>
  <c r="F133" i="19"/>
  <c r="F119" i="19"/>
  <c r="H133" i="19"/>
  <c r="H119" i="19"/>
  <c r="I133" i="19"/>
  <c r="I159" i="19" s="1"/>
  <c r="I119" i="19"/>
  <c r="U10" i="19"/>
  <c r="P31" i="14"/>
  <c r="D54" i="1" s="1"/>
  <c r="H47" i="9" s="1"/>
  <c r="I114" i="13"/>
  <c r="F114" i="13"/>
  <c r="F115" i="13"/>
  <c r="I115" i="13"/>
  <c r="N140" i="19"/>
  <c r="K106" i="8"/>
  <c r="I100" i="8"/>
  <c r="G100" i="8" s="1"/>
  <c r="J100" i="8" s="1"/>
  <c r="J106" i="8"/>
  <c r="L105" i="8"/>
  <c r="H101" i="8"/>
  <c r="I101" i="8" s="1"/>
  <c r="G101" i="8" s="1"/>
  <c r="E101" i="8"/>
  <c r="L99" i="8"/>
  <c r="L107" i="8"/>
  <c r="S126" i="19"/>
  <c r="U126" i="19" s="1"/>
  <c r="J237" i="19" s="1"/>
  <c r="D48" i="31"/>
  <c r="U9" i="19"/>
  <c r="S137" i="19"/>
  <c r="D39" i="31"/>
  <c r="L119" i="13"/>
  <c r="J27" i="19" s="1"/>
  <c r="J144" i="19" s="1"/>
  <c r="E58" i="25"/>
  <c r="K139" i="19"/>
  <c r="J143" i="19"/>
  <c r="U124" i="19"/>
  <c r="J235" i="19" s="1"/>
  <c r="K145" i="19"/>
  <c r="G138" i="19"/>
  <c r="F67" i="25"/>
  <c r="K67" i="25" s="1"/>
  <c r="K62" i="19"/>
  <c r="L145" i="19"/>
  <c r="E64" i="14"/>
  <c r="C65" i="14"/>
  <c r="E65" i="14" s="1"/>
  <c r="O23" i="19" s="1"/>
  <c r="O140" i="19" s="1"/>
  <c r="H57" i="19"/>
  <c r="H62" i="25" s="1"/>
  <c r="L57" i="19"/>
  <c r="L62" i="25" s="1"/>
  <c r="F62" i="25"/>
  <c r="L63" i="25"/>
  <c r="H58" i="19"/>
  <c r="H63" i="25" s="1"/>
  <c r="F63" i="25"/>
  <c r="O138" i="19"/>
  <c r="H59" i="19"/>
  <c r="H64" i="25" s="1"/>
  <c r="L59" i="19"/>
  <c r="L64" i="25" s="1"/>
  <c r="F64" i="25"/>
  <c r="U127" i="19"/>
  <c r="J238" i="19" s="1"/>
  <c r="D32" i="2"/>
  <c r="E31" i="2"/>
  <c r="M140" i="19"/>
  <c r="H53" i="19"/>
  <c r="H58" i="25" s="1"/>
  <c r="B31" i="2"/>
  <c r="O31" i="2" s="1"/>
  <c r="C30" i="2"/>
  <c r="R30" i="2" s="1"/>
  <c r="P30" i="2"/>
  <c r="R137" i="19"/>
  <c r="F61" i="25"/>
  <c r="L61" i="25"/>
  <c r="H56" i="19"/>
  <c r="H61" i="25" s="1"/>
  <c r="M139" i="19"/>
  <c r="L144" i="19"/>
  <c r="C40" i="31"/>
  <c r="D40" i="31" s="1" a="1"/>
  <c r="B41" i="31"/>
  <c r="O30" i="2"/>
  <c r="K140" i="19"/>
  <c r="K144" i="19"/>
  <c r="R138" i="19"/>
  <c r="Q29" i="2"/>
  <c r="B116" i="2"/>
  <c r="D116" i="2" s="1"/>
  <c r="G139" i="19"/>
  <c r="F60" i="25"/>
  <c r="H55" i="19"/>
  <c r="H60" i="25" s="1"/>
  <c r="L55" i="19"/>
  <c r="L60" i="25" s="1"/>
  <c r="H54" i="19"/>
  <c r="H59" i="25" s="1"/>
  <c r="F59" i="25"/>
  <c r="U125" i="19"/>
  <c r="J236" i="19" s="1"/>
  <c r="F141" i="19"/>
  <c r="F50" i="19" s="1"/>
  <c r="F25" i="19"/>
  <c r="O28" i="19"/>
  <c r="K55" i="25"/>
  <c r="N28" i="19"/>
  <c r="B269" i="19"/>
  <c r="H145" i="19"/>
  <c r="E50" i="29"/>
  <c r="L22" i="19" s="1"/>
  <c r="L139" i="19" s="1"/>
  <c r="C51" i="29"/>
  <c r="E51" i="29" s="1"/>
  <c r="L23" i="19" s="1"/>
  <c r="L140" i="19" s="1"/>
  <c r="I17" i="17"/>
  <c r="B19" i="20"/>
  <c r="F17" i="29"/>
  <c r="D44" i="1" s="1"/>
  <c r="J142" i="19"/>
  <c r="F88" i="29"/>
  <c r="D51" i="1" s="1"/>
  <c r="M28" i="19"/>
  <c r="K53" i="19"/>
  <c r="I58" i="25"/>
  <c r="F81" i="1"/>
  <c r="J71" i="9"/>
  <c r="C49" i="31"/>
  <c r="D49" i="31" s="1" a="1"/>
  <c r="B50" i="31"/>
  <c r="B278" i="19"/>
  <c r="Q87" i="2"/>
  <c r="P87" i="2"/>
  <c r="L21" i="19"/>
  <c r="F120" i="13"/>
  <c r="I120" i="13"/>
  <c r="C94" i="29"/>
  <c r="E93" i="29"/>
  <c r="Q140" i="19"/>
  <c r="Q159" i="19" s="1"/>
  <c r="Q43" i="19"/>
  <c r="C62" i="19" s="1"/>
  <c r="C67" i="25" s="1"/>
  <c r="J89" i="2"/>
  <c r="O88" i="2"/>
  <c r="M88" i="2"/>
  <c r="H143" i="19"/>
  <c r="D121" i="13"/>
  <c r="B122" i="13"/>
  <c r="E71" i="14"/>
  <c r="O29" i="19" s="1"/>
  <c r="O146" i="19" s="1"/>
  <c r="C72" i="14"/>
  <c r="L37" i="14"/>
  <c r="N36" i="14"/>
  <c r="O36" i="14" s="1"/>
  <c r="N29" i="19" s="1"/>
  <c r="N146" i="19" s="1"/>
  <c r="E22" i="29"/>
  <c r="K29" i="19" s="1"/>
  <c r="K146" i="19" s="1"/>
  <c r="C23" i="29"/>
  <c r="E57" i="29"/>
  <c r="C58" i="29"/>
  <c r="F52" i="19"/>
  <c r="J16" i="17"/>
  <c r="L106" i="8" l="1"/>
  <c r="L115" i="13"/>
  <c r="J23" i="19" s="1"/>
  <c r="J140" i="19" s="1"/>
  <c r="L114" i="13"/>
  <c r="G116" i="13"/>
  <c r="D58" i="1" s="1"/>
  <c r="J116" i="13"/>
  <c r="D60" i="1" s="1"/>
  <c r="S12" i="19"/>
  <c r="S129" i="19" s="1"/>
  <c r="S21" i="19"/>
  <c r="K100" i="8"/>
  <c r="F101" i="8"/>
  <c r="J101" i="8" s="1"/>
  <c r="L100" i="8"/>
  <c r="K101" i="8"/>
  <c r="D40" i="31"/>
  <c r="S13" i="19" s="1"/>
  <c r="D49" i="31"/>
  <c r="L50" i="19"/>
  <c r="L55" i="25" s="1"/>
  <c r="G23" i="19"/>
  <c r="G140" i="19" s="1"/>
  <c r="O22" i="19"/>
  <c r="O139" i="19" s="1"/>
  <c r="F66" i="14"/>
  <c r="D55" i="1" s="1"/>
  <c r="H50" i="9" s="1"/>
  <c r="R22" i="19"/>
  <c r="R139" i="19" s="1"/>
  <c r="Q30" i="2"/>
  <c r="B117" i="2"/>
  <c r="D117" i="2" s="1"/>
  <c r="R23" i="19" s="1"/>
  <c r="R140" i="19" s="1"/>
  <c r="C41" i="31"/>
  <c r="D41" i="31" s="1" a="1"/>
  <c r="B42" i="31"/>
  <c r="B32" i="2"/>
  <c r="O32" i="2" s="1"/>
  <c r="C31" i="2"/>
  <c r="R31" i="2" s="1"/>
  <c r="P31" i="2"/>
  <c r="D33" i="2"/>
  <c r="E32" i="2"/>
  <c r="F142" i="19"/>
  <c r="F26" i="19"/>
  <c r="F55" i="25"/>
  <c r="H50" i="19"/>
  <c r="H55" i="25" s="1"/>
  <c r="L38" i="14"/>
  <c r="N37" i="14"/>
  <c r="O37" i="14" s="1"/>
  <c r="N30" i="19" s="1"/>
  <c r="N147" i="19" s="1"/>
  <c r="Q88" i="2"/>
  <c r="P88" i="2"/>
  <c r="M29" i="19"/>
  <c r="M146" i="19" s="1"/>
  <c r="B270" i="19"/>
  <c r="N145" i="19"/>
  <c r="O145" i="19"/>
  <c r="J90" i="2"/>
  <c r="O89" i="2"/>
  <c r="M89" i="2"/>
  <c r="R89" i="2" s="1"/>
  <c r="H30" i="19" s="1"/>
  <c r="C95" i="29"/>
  <c r="E94" i="29"/>
  <c r="M30" i="19" s="1"/>
  <c r="M147" i="19" s="1"/>
  <c r="L120" i="13"/>
  <c r="L138" i="19"/>
  <c r="M145" i="19"/>
  <c r="C59" i="29"/>
  <c r="E58" i="29"/>
  <c r="C73" i="14"/>
  <c r="E72" i="14"/>
  <c r="O30" i="19" s="1"/>
  <c r="O147" i="19" s="1"/>
  <c r="B123" i="13"/>
  <c r="D122" i="13"/>
  <c r="C50" i="31"/>
  <c r="D50" i="31" s="1" a="1"/>
  <c r="B51" i="31"/>
  <c r="H44" i="9"/>
  <c r="B18" i="20"/>
  <c r="K16" i="17"/>
  <c r="D52" i="19" s="1"/>
  <c r="G52" i="19"/>
  <c r="H52" i="19" s="1"/>
  <c r="H57" i="25" s="1"/>
  <c r="C24" i="29"/>
  <c r="E23" i="29"/>
  <c r="K30" i="19" s="1"/>
  <c r="K147" i="19" s="1"/>
  <c r="E71" i="9"/>
  <c r="J90" i="9"/>
  <c r="H38" i="9"/>
  <c r="F57" i="25"/>
  <c r="L29" i="19"/>
  <c r="L146" i="19" s="1"/>
  <c r="F121" i="13"/>
  <c r="I121" i="13"/>
  <c r="R88" i="2"/>
  <c r="F52" i="29"/>
  <c r="D47" i="1" s="1"/>
  <c r="B279" i="19"/>
  <c r="K58" i="25"/>
  <c r="L53" i="19"/>
  <c r="O53" i="19" s="1"/>
  <c r="L101" i="8" l="1"/>
  <c r="S138" i="19"/>
  <c r="J22" i="19"/>
  <c r="J139" i="19" s="1"/>
  <c r="M116" i="13"/>
  <c r="S22" i="19"/>
  <c r="D41" i="31"/>
  <c r="S14" i="19" s="1"/>
  <c r="U11" i="19"/>
  <c r="S128" i="19"/>
  <c r="U128" i="19" s="1"/>
  <c r="J239" i="19" s="1"/>
  <c r="D50" i="31"/>
  <c r="L58" i="25"/>
  <c r="C51" i="31"/>
  <c r="D51" i="31" s="1" a="1"/>
  <c r="D34" i="2"/>
  <c r="E33" i="2"/>
  <c r="G24" i="19"/>
  <c r="G141" i="19" s="1"/>
  <c r="F51" i="19" s="1"/>
  <c r="S31" i="2"/>
  <c r="D34" i="1" s="1"/>
  <c r="C42" i="31"/>
  <c r="D42" i="31" s="1" a="1"/>
  <c r="B43" i="31"/>
  <c r="C43" i="31" s="1"/>
  <c r="D43" i="31" s="1" a="1"/>
  <c r="B118" i="2"/>
  <c r="D118" i="2" s="1"/>
  <c r="Q31" i="2"/>
  <c r="G15" i="17"/>
  <c r="B33" i="2"/>
  <c r="C32" i="2"/>
  <c r="R32" i="2" s="1"/>
  <c r="P32" i="2"/>
  <c r="F143" i="19"/>
  <c r="F27" i="19"/>
  <c r="L121" i="13"/>
  <c r="J29" i="19" s="1"/>
  <c r="J146" i="19" s="1"/>
  <c r="J91" i="9"/>
  <c r="D57" i="25"/>
  <c r="D123" i="13"/>
  <c r="B124" i="13"/>
  <c r="E59" i="29"/>
  <c r="L31" i="19" s="1"/>
  <c r="L148" i="19" s="1"/>
  <c r="C60" i="29"/>
  <c r="J28" i="19"/>
  <c r="Q89" i="2"/>
  <c r="P89" i="2"/>
  <c r="H41" i="9"/>
  <c r="B280" i="19"/>
  <c r="H29" i="19"/>
  <c r="J91" i="2"/>
  <c r="O90" i="2"/>
  <c r="M90" i="2"/>
  <c r="R90" i="2" s="1"/>
  <c r="H31" i="19" s="1"/>
  <c r="B271" i="19"/>
  <c r="E24" i="29"/>
  <c r="K31" i="19" s="1"/>
  <c r="K148" i="19" s="1"/>
  <c r="C25" i="29"/>
  <c r="E73" i="14"/>
  <c r="C74" i="14"/>
  <c r="C96" i="29"/>
  <c r="E95" i="29"/>
  <c r="M31" i="19" s="1"/>
  <c r="N38" i="14"/>
  <c r="O38" i="14" s="1"/>
  <c r="L39" i="14"/>
  <c r="I52" i="19"/>
  <c r="G57" i="25"/>
  <c r="F122" i="13"/>
  <c r="I122" i="13"/>
  <c r="L30" i="19"/>
  <c r="L147" i="19" s="1"/>
  <c r="H147" i="19"/>
  <c r="S139" i="19" l="1"/>
  <c r="S23" i="19"/>
  <c r="S131" i="19"/>
  <c r="D43" i="31"/>
  <c r="S16" i="19" s="1"/>
  <c r="D42" i="31"/>
  <c r="S15" i="19" s="1"/>
  <c r="D51" i="31"/>
  <c r="Q53" i="19"/>
  <c r="B34" i="2"/>
  <c r="O34" i="2" s="1"/>
  <c r="C33" i="2"/>
  <c r="R33" i="2" s="1"/>
  <c r="G26" i="19" s="1"/>
  <c r="P33" i="2"/>
  <c r="H15" i="17"/>
  <c r="G25" i="17"/>
  <c r="H29" i="9"/>
  <c r="F56" i="25"/>
  <c r="O33" i="2"/>
  <c r="Q32" i="2"/>
  <c r="B119" i="2"/>
  <c r="D119" i="2" s="1"/>
  <c r="R25" i="19" s="1"/>
  <c r="R142" i="19" s="1"/>
  <c r="G25" i="19"/>
  <c r="R24" i="19"/>
  <c r="R141" i="19" s="1"/>
  <c r="F63" i="19" s="1"/>
  <c r="F68" i="25" s="1"/>
  <c r="E118" i="2"/>
  <c r="D63" i="1" s="1"/>
  <c r="D35" i="2"/>
  <c r="E34" i="2"/>
  <c r="F28" i="19"/>
  <c r="F144" i="19"/>
  <c r="C75" i="14"/>
  <c r="E74" i="14"/>
  <c r="O32" i="19" s="1"/>
  <c r="O149" i="19" s="1"/>
  <c r="H148" i="19"/>
  <c r="B281" i="19"/>
  <c r="J145" i="19"/>
  <c r="B125" i="13"/>
  <c r="D124" i="13"/>
  <c r="M148" i="19"/>
  <c r="O31" i="19"/>
  <c r="Q90" i="2"/>
  <c r="P90" i="2"/>
  <c r="H146" i="19"/>
  <c r="F123" i="13"/>
  <c r="I123" i="13"/>
  <c r="K52" i="19"/>
  <c r="I57" i="25"/>
  <c r="C97" i="29"/>
  <c r="E96" i="29"/>
  <c r="M32" i="19" s="1"/>
  <c r="M149" i="19" s="1"/>
  <c r="C26" i="29"/>
  <c r="E25" i="29"/>
  <c r="K32" i="19" s="1"/>
  <c r="K149" i="19" s="1"/>
  <c r="J92" i="2"/>
  <c r="O91" i="2"/>
  <c r="M91" i="2"/>
  <c r="R91" i="2" s="1"/>
  <c r="H32" i="19" s="1"/>
  <c r="C61" i="29"/>
  <c r="E60" i="29"/>
  <c r="L122" i="13"/>
  <c r="N39" i="14"/>
  <c r="O39" i="14" s="1"/>
  <c r="N32" i="19" s="1"/>
  <c r="N149" i="19" s="1"/>
  <c r="L40" i="14"/>
  <c r="N31" i="19"/>
  <c r="S140" i="19" l="1"/>
  <c r="F51" i="31"/>
  <c r="D3" i="1" s="1"/>
  <c r="S24" i="19"/>
  <c r="G47" i="31"/>
  <c r="N97" i="9" s="1"/>
  <c r="S132" i="19"/>
  <c r="S130" i="19"/>
  <c r="Q33" i="2"/>
  <c r="B120" i="2"/>
  <c r="D120" i="2" s="1"/>
  <c r="R26" i="19" s="1"/>
  <c r="R143" i="19" s="1"/>
  <c r="D36" i="2"/>
  <c r="E35" i="2"/>
  <c r="G143" i="19"/>
  <c r="E48" i="27"/>
  <c r="B17" i="20"/>
  <c r="G51" i="19"/>
  <c r="I15" i="17"/>
  <c r="H25" i="17"/>
  <c r="G142" i="19"/>
  <c r="H88" i="9"/>
  <c r="B35" i="2"/>
  <c r="O35" i="2" s="1"/>
  <c r="C34" i="2"/>
  <c r="R34" i="2" s="1"/>
  <c r="P34" i="2"/>
  <c r="F145" i="19"/>
  <c r="F29" i="19"/>
  <c r="E61" i="29"/>
  <c r="L33" i="19" s="1"/>
  <c r="L150" i="19" s="1"/>
  <c r="C62" i="29"/>
  <c r="J93" i="2"/>
  <c r="M93" i="2" s="1"/>
  <c r="O92" i="2"/>
  <c r="M92" i="2"/>
  <c r="R92" i="2" s="1"/>
  <c r="H33" i="19" s="1"/>
  <c r="K57" i="25"/>
  <c r="L52" i="19"/>
  <c r="L57" i="25" s="1"/>
  <c r="D125" i="13"/>
  <c r="B126" i="13"/>
  <c r="E75" i="14"/>
  <c r="O33" i="19" s="1"/>
  <c r="O150" i="19" s="1"/>
  <c r="C76" i="14"/>
  <c r="J30" i="19"/>
  <c r="C98" i="29"/>
  <c r="E97" i="29"/>
  <c r="M33" i="19" s="1"/>
  <c r="M150" i="19" s="1"/>
  <c r="H149" i="19"/>
  <c r="L123" i="13"/>
  <c r="J31" i="19" s="1"/>
  <c r="O148" i="19"/>
  <c r="N148" i="19"/>
  <c r="L41" i="14"/>
  <c r="N40" i="14"/>
  <c r="O40" i="14" s="1"/>
  <c r="N33" i="19" s="1"/>
  <c r="N150" i="19" s="1"/>
  <c r="L32" i="19"/>
  <c r="L149" i="19" s="1"/>
  <c r="Q91" i="2"/>
  <c r="P91" i="2"/>
  <c r="E26" i="29"/>
  <c r="K33" i="19" s="1"/>
  <c r="K150" i="19" s="1"/>
  <c r="C27" i="29"/>
  <c r="F124" i="13"/>
  <c r="I124" i="13"/>
  <c r="S141" i="19" l="1"/>
  <c r="F64" i="19" s="1"/>
  <c r="F69" i="25" s="1"/>
  <c r="S43" i="19"/>
  <c r="C64" i="19" s="1"/>
  <c r="C69" i="25" s="1"/>
  <c r="F3" i="1"/>
  <c r="N3" i="9" s="1"/>
  <c r="E3" i="9" s="1"/>
  <c r="S133" i="19"/>
  <c r="Q34" i="2"/>
  <c r="B121" i="2"/>
  <c r="D121" i="2" s="1"/>
  <c r="R27" i="19" s="1"/>
  <c r="R144" i="19" s="1"/>
  <c r="E27" i="17"/>
  <c r="E11" i="31"/>
  <c r="J25" i="17"/>
  <c r="B27" i="20" s="1"/>
  <c r="G27" i="19"/>
  <c r="H91" i="9"/>
  <c r="E88" i="9"/>
  <c r="B97" i="27" s="1"/>
  <c r="D51" i="19"/>
  <c r="I25" i="17"/>
  <c r="B36" i="2"/>
  <c r="C35" i="2"/>
  <c r="R35" i="2" s="1"/>
  <c r="G28" i="19" s="1"/>
  <c r="P35" i="2"/>
  <c r="I51" i="19"/>
  <c r="G56" i="25"/>
  <c r="G66" i="19"/>
  <c r="H51" i="19"/>
  <c r="H56" i="25" s="1"/>
  <c r="D37" i="2"/>
  <c r="E36" i="2"/>
  <c r="F146" i="19"/>
  <c r="F30" i="19"/>
  <c r="C28" i="29"/>
  <c r="E27" i="29"/>
  <c r="K34" i="19" s="1"/>
  <c r="K151" i="19" s="1"/>
  <c r="J148" i="19"/>
  <c r="C77" i="14"/>
  <c r="E76" i="14"/>
  <c r="O34" i="19" s="1"/>
  <c r="O151" i="19" s="1"/>
  <c r="C63" i="29"/>
  <c r="E62" i="29"/>
  <c r="L34" i="19" s="1"/>
  <c r="L151" i="19" s="1"/>
  <c r="L124" i="13"/>
  <c r="J32" i="19" s="1"/>
  <c r="C99" i="29"/>
  <c r="E98" i="29"/>
  <c r="M34" i="19" s="1"/>
  <c r="M151" i="19" s="1"/>
  <c r="J147" i="19"/>
  <c r="B127" i="13"/>
  <c r="D126" i="13"/>
  <c r="H150" i="19"/>
  <c r="F125" i="13"/>
  <c r="I125" i="13"/>
  <c r="Q92" i="2"/>
  <c r="P92" i="2"/>
  <c r="B127" i="2" s="1"/>
  <c r="D127" i="2" s="1"/>
  <c r="R33" i="19" s="1"/>
  <c r="R150" i="19" s="1"/>
  <c r="L42" i="14"/>
  <c r="N41" i="14"/>
  <c r="O41" i="14" s="1"/>
  <c r="N34" i="19" s="1"/>
  <c r="J94" i="2"/>
  <c r="O93" i="2"/>
  <c r="R93" i="2"/>
  <c r="H34" i="19" s="1"/>
  <c r="L64" i="19" l="1"/>
  <c r="L69" i="25" s="1"/>
  <c r="S159" i="19"/>
  <c r="L125" i="13"/>
  <c r="J33" i="19" s="1"/>
  <c r="J150" i="19" s="1"/>
  <c r="K51" i="19"/>
  <c r="I56" i="25"/>
  <c r="I66" i="19"/>
  <c r="I71" i="25" s="1"/>
  <c r="B105" i="27"/>
  <c r="E10" i="31"/>
  <c r="K25" i="17"/>
  <c r="C4" i="17" s="1"/>
  <c r="C3" i="17"/>
  <c r="Q35" i="2"/>
  <c r="B122" i="2"/>
  <c r="D122" i="2" s="1"/>
  <c r="R28" i="19" s="1"/>
  <c r="R145" i="19" s="1"/>
  <c r="D56" i="25"/>
  <c r="D66" i="19"/>
  <c r="B37" i="2"/>
  <c r="C36" i="2"/>
  <c r="R36" i="2" s="1"/>
  <c r="P36" i="2"/>
  <c r="D38" i="2"/>
  <c r="E37" i="2"/>
  <c r="G144" i="19"/>
  <c r="O36" i="2"/>
  <c r="G71" i="25"/>
  <c r="X211" i="19"/>
  <c r="G145" i="19"/>
  <c r="F147" i="19"/>
  <c r="F31" i="19"/>
  <c r="H151" i="19"/>
  <c r="J95" i="2"/>
  <c r="O94" i="2"/>
  <c r="M94" i="2"/>
  <c r="R94" i="2" s="1"/>
  <c r="H35" i="19" s="1"/>
  <c r="D127" i="13"/>
  <c r="B128" i="13"/>
  <c r="E63" i="29"/>
  <c r="L35" i="19" s="1"/>
  <c r="L152" i="19" s="1"/>
  <c r="C64" i="29"/>
  <c r="E77" i="14"/>
  <c r="O35" i="19" s="1"/>
  <c r="O152" i="19" s="1"/>
  <c r="C78" i="14"/>
  <c r="E28" i="29"/>
  <c r="K35" i="19" s="1"/>
  <c r="K152" i="19" s="1"/>
  <c r="C29" i="29"/>
  <c r="N151" i="19"/>
  <c r="N42" i="14"/>
  <c r="O42" i="14" s="1"/>
  <c r="N35" i="19" s="1"/>
  <c r="N152" i="19" s="1"/>
  <c r="L43" i="14"/>
  <c r="J149" i="19"/>
  <c r="Q93" i="2"/>
  <c r="P93" i="2"/>
  <c r="B128" i="2" s="1"/>
  <c r="D128" i="2" s="1"/>
  <c r="R34" i="19" s="1"/>
  <c r="R151" i="19" s="1"/>
  <c r="F126" i="13"/>
  <c r="I126" i="13"/>
  <c r="C100" i="29"/>
  <c r="E99" i="29"/>
  <c r="M35" i="19" s="1"/>
  <c r="M152" i="19" s="1"/>
  <c r="N64" i="19" l="1"/>
  <c r="M69" i="25" s="1"/>
  <c r="D39" i="2"/>
  <c r="E38" i="2"/>
  <c r="X208" i="19"/>
  <c r="C74" i="19"/>
  <c r="D71" i="25"/>
  <c r="K56" i="25"/>
  <c r="L51" i="19"/>
  <c r="L56" i="25" s="1"/>
  <c r="C76" i="19"/>
  <c r="E12" i="31" s="1"/>
  <c r="E14" i="31" s="1"/>
  <c r="E16" i="31" s="1"/>
  <c r="K67" i="19" s="1"/>
  <c r="K66" i="19"/>
  <c r="Q36" i="2"/>
  <c r="B123" i="2"/>
  <c r="D123" i="2" s="1"/>
  <c r="R29" i="19" s="1"/>
  <c r="R146" i="19" s="1"/>
  <c r="B38" i="2"/>
  <c r="O38" i="2" s="1"/>
  <c r="C37" i="2"/>
  <c r="R37" i="2" s="1"/>
  <c r="P37" i="2"/>
  <c r="B255" i="19"/>
  <c r="B256" i="19" s="1"/>
  <c r="B257" i="19" s="1"/>
  <c r="B258" i="19" s="1"/>
  <c r="B259" i="19" s="1"/>
  <c r="B260" i="19" s="1"/>
  <c r="G78" i="25"/>
  <c r="O37" i="2"/>
  <c r="G29" i="19"/>
  <c r="B252" i="19"/>
  <c r="C5" i="17"/>
  <c r="G77" i="25"/>
  <c r="F148" i="19"/>
  <c r="F32" i="19"/>
  <c r="C101" i="29"/>
  <c r="E100" i="29"/>
  <c r="M36" i="19" s="1"/>
  <c r="M153" i="19" s="1"/>
  <c r="L126" i="13"/>
  <c r="J34" i="19" s="1"/>
  <c r="C30" i="29"/>
  <c r="E29" i="29"/>
  <c r="K36" i="19" s="1"/>
  <c r="K153" i="19" s="1"/>
  <c r="C65" i="29"/>
  <c r="E64" i="29"/>
  <c r="L36" i="19" s="1"/>
  <c r="L153" i="19" s="1"/>
  <c r="N43" i="14"/>
  <c r="O43" i="14" s="1"/>
  <c r="N36" i="19" s="1"/>
  <c r="N153" i="19" s="1"/>
  <c r="L44" i="14"/>
  <c r="H152" i="19"/>
  <c r="C79" i="14"/>
  <c r="E78" i="14"/>
  <c r="O36" i="19" s="1"/>
  <c r="O153" i="19" s="1"/>
  <c r="B129" i="13"/>
  <c r="D128" i="13"/>
  <c r="Q94" i="2"/>
  <c r="P94" i="2"/>
  <c r="B129" i="2" s="1"/>
  <c r="D129" i="2" s="1"/>
  <c r="R35" i="19" s="1"/>
  <c r="R152" i="19" s="1"/>
  <c r="F127" i="13"/>
  <c r="I127" i="13"/>
  <c r="J96" i="2"/>
  <c r="O95" i="2"/>
  <c r="M95" i="2"/>
  <c r="R95" i="2" s="1"/>
  <c r="H36" i="19" s="1"/>
  <c r="Q37" i="2" l="1"/>
  <c r="B124" i="2"/>
  <c r="D124" i="2" s="1"/>
  <c r="R30" i="19" s="1"/>
  <c r="R147" i="19" s="1"/>
  <c r="K71" i="25"/>
  <c r="X214" i="19"/>
  <c r="B253" i="19"/>
  <c r="G30" i="19"/>
  <c r="G79" i="25"/>
  <c r="K72" i="25"/>
  <c r="E39" i="2"/>
  <c r="R39" i="2" s="1"/>
  <c r="P39" i="2"/>
  <c r="O39" i="2"/>
  <c r="G146" i="19"/>
  <c r="C38" i="2"/>
  <c r="R38" i="2" s="1"/>
  <c r="G31" i="19" s="1"/>
  <c r="P38" i="2"/>
  <c r="F149" i="19"/>
  <c r="F33" i="19"/>
  <c r="L127" i="13"/>
  <c r="J35" i="19" s="1"/>
  <c r="J152" i="19" s="1"/>
  <c r="Q95" i="2"/>
  <c r="P95" i="2"/>
  <c r="B130" i="2" s="1"/>
  <c r="D130" i="2" s="1"/>
  <c r="R36" i="19" s="1"/>
  <c r="R153" i="19" s="1"/>
  <c r="F128" i="13"/>
  <c r="I128" i="13"/>
  <c r="E79" i="14"/>
  <c r="C80" i="14"/>
  <c r="C102" i="29"/>
  <c r="E101" i="29"/>
  <c r="M37" i="19" s="1"/>
  <c r="M154" i="19" s="1"/>
  <c r="J97" i="2"/>
  <c r="O96" i="2"/>
  <c r="M96" i="2"/>
  <c r="R96" i="2" s="1"/>
  <c r="H37" i="19" s="1"/>
  <c r="D129" i="13"/>
  <c r="B130" i="13"/>
  <c r="L45" i="14"/>
  <c r="N45" i="14" s="1"/>
  <c r="O45" i="14" s="1"/>
  <c r="N44" i="14"/>
  <c r="O44" i="14" s="1"/>
  <c r="N37" i="19" s="1"/>
  <c r="N154" i="19" s="1"/>
  <c r="E30" i="29"/>
  <c r="K37" i="19" s="1"/>
  <c r="K154" i="19" s="1"/>
  <c r="C31" i="29"/>
  <c r="B261" i="19"/>
  <c r="J151" i="19"/>
  <c r="H153" i="19"/>
  <c r="E65" i="29"/>
  <c r="L37" i="19" s="1"/>
  <c r="L154" i="19" s="1"/>
  <c r="C66" i="29"/>
  <c r="S46" i="2" l="1"/>
  <c r="E34" i="1" s="1"/>
  <c r="I29" i="9" s="1"/>
  <c r="E29" i="9" s="1"/>
  <c r="L128" i="13"/>
  <c r="J36" i="19" s="1"/>
  <c r="J153" i="19" s="1"/>
  <c r="G148" i="19"/>
  <c r="Q38" i="2"/>
  <c r="B125" i="2"/>
  <c r="D125" i="2" s="1"/>
  <c r="R31" i="19" s="1"/>
  <c r="R148" i="19" s="1"/>
  <c r="Q39" i="2"/>
  <c r="B126" i="2"/>
  <c r="D126" i="2" s="1"/>
  <c r="R32" i="19" s="1"/>
  <c r="R149" i="19" s="1"/>
  <c r="G32" i="19"/>
  <c r="R48" i="2"/>
  <c r="G147" i="19"/>
  <c r="B254" i="19"/>
  <c r="F150" i="19"/>
  <c r="F34" i="19"/>
  <c r="C67" i="29"/>
  <c r="E67" i="29" s="1"/>
  <c r="E66" i="29"/>
  <c r="L38" i="19" s="1"/>
  <c r="L155" i="19" s="1"/>
  <c r="E31" i="29"/>
  <c r="K38" i="19" s="1"/>
  <c r="K155" i="19" s="1"/>
  <c r="C32" i="29"/>
  <c r="E32" i="29" s="1"/>
  <c r="Q96" i="2"/>
  <c r="P96" i="2"/>
  <c r="B131" i="2" s="1"/>
  <c r="D131" i="2" s="1"/>
  <c r="R37" i="19" s="1"/>
  <c r="R154" i="19" s="1"/>
  <c r="B131" i="13"/>
  <c r="D131" i="13" s="1"/>
  <c r="D130" i="13"/>
  <c r="J98" i="2"/>
  <c r="O97" i="2"/>
  <c r="M97" i="2"/>
  <c r="R97" i="2" s="1"/>
  <c r="H38" i="19" s="1"/>
  <c r="N38" i="19"/>
  <c r="P46" i="14"/>
  <c r="E54" i="1" s="1"/>
  <c r="H154" i="19"/>
  <c r="C103" i="29"/>
  <c r="E103" i="29" s="1"/>
  <c r="E102" i="29"/>
  <c r="M38" i="19" s="1"/>
  <c r="M155" i="19" s="1"/>
  <c r="F129" i="13"/>
  <c r="I129" i="13"/>
  <c r="O37" i="19"/>
  <c r="G84" i="14"/>
  <c r="F81" i="14"/>
  <c r="E55" i="1" s="1"/>
  <c r="F34" i="1" l="1"/>
  <c r="G149" i="19"/>
  <c r="G43" i="19"/>
  <c r="C51" i="19" s="1"/>
  <c r="F151" i="19"/>
  <c r="F35" i="19"/>
  <c r="I50" i="9"/>
  <c r="E50" i="9" s="1"/>
  <c r="F55" i="1"/>
  <c r="M39" i="19"/>
  <c r="E106" i="29"/>
  <c r="F103" i="29"/>
  <c r="E51" i="1" s="1"/>
  <c r="I47" i="9"/>
  <c r="E47" i="9" s="1"/>
  <c r="F54" i="1"/>
  <c r="H155" i="19"/>
  <c r="F131" i="13"/>
  <c r="I131" i="13"/>
  <c r="K39" i="19"/>
  <c r="E35" i="29"/>
  <c r="F32" i="29"/>
  <c r="E44" i="1" s="1"/>
  <c r="Q97" i="2"/>
  <c r="P97" i="2"/>
  <c r="B132" i="2" s="1"/>
  <c r="D132" i="2" s="1"/>
  <c r="R38" i="19" s="1"/>
  <c r="R155" i="19" s="1"/>
  <c r="N155" i="19"/>
  <c r="N159" i="19" s="1"/>
  <c r="N43" i="19"/>
  <c r="C58" i="19" s="1"/>
  <c r="O154" i="19"/>
  <c r="O159" i="19" s="1"/>
  <c r="O43" i="19"/>
  <c r="C59" i="19" s="1"/>
  <c r="L129" i="13"/>
  <c r="J37" i="19" s="1"/>
  <c r="O98" i="2"/>
  <c r="M98" i="2"/>
  <c r="F130" i="13"/>
  <c r="I130" i="13"/>
  <c r="L39" i="19"/>
  <c r="F67" i="29"/>
  <c r="E47" i="1" s="1"/>
  <c r="E70" i="29"/>
  <c r="G159" i="19" l="1"/>
  <c r="C56" i="25"/>
  <c r="E51" i="19"/>
  <c r="O51" i="19" s="1"/>
  <c r="F152" i="19"/>
  <c r="F36" i="19"/>
  <c r="J154" i="19"/>
  <c r="K156" i="19"/>
  <c r="K159" i="19" s="1"/>
  <c r="K43" i="19"/>
  <c r="C55" i="19" s="1"/>
  <c r="L130" i="13"/>
  <c r="J38" i="19" s="1"/>
  <c r="E59" i="19"/>
  <c r="O59" i="19" s="1"/>
  <c r="C64" i="25"/>
  <c r="E58" i="19"/>
  <c r="O58" i="19" s="1"/>
  <c r="C63" i="25"/>
  <c r="J131" i="13"/>
  <c r="E60" i="1" s="1"/>
  <c r="F60" i="1" s="1"/>
  <c r="S54" i="9" s="1"/>
  <c r="I41" i="9"/>
  <c r="E41" i="9" s="1"/>
  <c r="F47" i="1"/>
  <c r="L131" i="13"/>
  <c r="G131" i="13"/>
  <c r="E58" i="1" s="1"/>
  <c r="F58" i="1" s="1"/>
  <c r="N53" i="9" s="1"/>
  <c r="M156" i="19"/>
  <c r="M159" i="19" s="1"/>
  <c r="M43" i="19"/>
  <c r="C57" i="19" s="1"/>
  <c r="I38" i="9"/>
  <c r="E38" i="9" s="1"/>
  <c r="F44" i="1"/>
  <c r="L156" i="19"/>
  <c r="L159" i="19" s="1"/>
  <c r="L43" i="19"/>
  <c r="C56" i="19" s="1"/>
  <c r="R98" i="2"/>
  <c r="M102" i="2"/>
  <c r="Q98" i="2"/>
  <c r="P98" i="2"/>
  <c r="B133" i="2" s="1"/>
  <c r="D133" i="2" s="1"/>
  <c r="I44" i="9"/>
  <c r="E44" i="9" s="1"/>
  <c r="F51" i="1"/>
  <c r="E63" i="25" l="1"/>
  <c r="Q58" i="19"/>
  <c r="E64" i="25"/>
  <c r="Q59" i="19"/>
  <c r="E56" i="25"/>
  <c r="F153" i="19"/>
  <c r="F37" i="19"/>
  <c r="E53" i="9"/>
  <c r="N90" i="9"/>
  <c r="E55" i="19"/>
  <c r="O55" i="19" s="1"/>
  <c r="C60" i="25"/>
  <c r="H39" i="19"/>
  <c r="S101" i="2"/>
  <c r="E37" i="1" s="1"/>
  <c r="R102" i="2"/>
  <c r="J39" i="19"/>
  <c r="M131" i="13"/>
  <c r="E57" i="19"/>
  <c r="O57" i="19" s="1"/>
  <c r="C62" i="25"/>
  <c r="E56" i="19"/>
  <c r="O56" i="19" s="1"/>
  <c r="C61" i="25"/>
  <c r="S90" i="9"/>
  <c r="S91" i="9" s="1"/>
  <c r="E54" i="9"/>
  <c r="R39" i="19"/>
  <c r="D137" i="2"/>
  <c r="E133" i="2"/>
  <c r="E63" i="1" s="1"/>
  <c r="F63" i="1" s="1"/>
  <c r="X58" i="9" s="1"/>
  <c r="J155" i="19"/>
  <c r="E60" i="25" l="1"/>
  <c r="E62" i="25"/>
  <c r="Q57" i="19"/>
  <c r="E61" i="25"/>
  <c r="Q56" i="19"/>
  <c r="Q51" i="19"/>
  <c r="F154" i="19"/>
  <c r="F38" i="19"/>
  <c r="R156" i="19"/>
  <c r="R159" i="19" s="1"/>
  <c r="R43" i="19"/>
  <c r="C63" i="19" s="1"/>
  <c r="C68" i="25" s="1"/>
  <c r="I32" i="9"/>
  <c r="F37" i="1"/>
  <c r="H156" i="19"/>
  <c r="H43" i="19"/>
  <c r="X90" i="9"/>
  <c r="X91" i="9" s="1"/>
  <c r="E58" i="9"/>
  <c r="J156" i="19"/>
  <c r="J159" i="19" s="1"/>
  <c r="J43" i="19"/>
  <c r="C54" i="19" s="1"/>
  <c r="E54" i="19" s="1"/>
  <c r="O54" i="19" s="1"/>
  <c r="N91" i="9"/>
  <c r="Q54" i="19" l="1"/>
  <c r="F155" i="19"/>
  <c r="F39" i="19"/>
  <c r="C52" i="19"/>
  <c r="I89" i="9"/>
  <c r="E32" i="9"/>
  <c r="E59" i="25"/>
  <c r="C59" i="25"/>
  <c r="AC62" i="25" s="1"/>
  <c r="H159" i="19"/>
  <c r="AC65" i="25" l="1"/>
  <c r="P65" i="25" s="1"/>
  <c r="AC64" i="25"/>
  <c r="F156" i="19"/>
  <c r="F43" i="19"/>
  <c r="I91" i="9"/>
  <c r="E89" i="9"/>
  <c r="E52" i="19"/>
  <c r="O52" i="19" s="1"/>
  <c r="C57" i="25"/>
  <c r="Q52" i="19" l="1"/>
  <c r="C50" i="19"/>
  <c r="C72" i="19" s="1"/>
  <c r="F159" i="19"/>
  <c r="B98" i="27"/>
  <c r="E93" i="9"/>
  <c r="B7" i="20" s="1"/>
  <c r="E57" i="25"/>
  <c r="C55" i="25" l="1"/>
  <c r="P63" i="25" s="1"/>
  <c r="E50" i="19"/>
  <c r="O50" i="19" s="1"/>
  <c r="E55" i="25" l="1"/>
  <c r="P12" i="19" l="1"/>
  <c r="P129" i="19" l="1"/>
  <c r="U129" i="19"/>
  <c r="U12" i="19"/>
  <c r="J240" i="19" l="1"/>
  <c r="M110" i="8"/>
  <c r="P31" i="19"/>
  <c r="P35" i="19"/>
  <c r="N89" i="8"/>
  <c r="O97" i="9" s="1"/>
  <c r="E97" i="9" s="1"/>
  <c r="P38" i="19"/>
  <c r="P33" i="19"/>
  <c r="P28" i="19"/>
  <c r="P14" i="19"/>
  <c r="P27" i="19"/>
  <c r="P21" i="19"/>
  <c r="P15" i="19"/>
  <c r="P17" i="19"/>
  <c r="P134" i="19" s="1"/>
  <c r="P26" i="19"/>
  <c r="P23" i="19"/>
  <c r="P25" i="19"/>
  <c r="P16" i="19"/>
  <c r="P20" i="19"/>
  <c r="P137" i="19" s="1"/>
  <c r="P18" i="19"/>
  <c r="P135" i="19" s="1"/>
  <c r="M108" i="8"/>
  <c r="E74" i="1" s="1"/>
  <c r="E103" i="1" s="1"/>
  <c r="P32" i="19"/>
  <c r="P37" i="19"/>
  <c r="P39" i="19"/>
  <c r="P13" i="19"/>
  <c r="P19" i="19"/>
  <c r="P136" i="19" s="1"/>
  <c r="P29" i="19"/>
  <c r="P24" i="19"/>
  <c r="P141" i="19" s="1"/>
  <c r="P36" i="19"/>
  <c r="P34" i="19"/>
  <c r="P22" i="19"/>
  <c r="P139" i="19" s="1"/>
  <c r="P30" i="19"/>
  <c r="M85" i="8"/>
  <c r="U25" i="19" l="1"/>
  <c r="U28" i="19"/>
  <c r="P156" i="19"/>
  <c r="U156" i="19" s="1"/>
  <c r="J267" i="19" s="1"/>
  <c r="U33" i="19"/>
  <c r="U26" i="19"/>
  <c r="U34" i="19"/>
  <c r="U36" i="19"/>
  <c r="P132" i="19"/>
  <c r="U132" i="19" s="1"/>
  <c r="J243" i="19" s="1"/>
  <c r="P148" i="19"/>
  <c r="U148" i="19" s="1"/>
  <c r="J259" i="19" s="1"/>
  <c r="P133" i="19"/>
  <c r="U133" i="19" s="1"/>
  <c r="J244" i="19" s="1"/>
  <c r="P150" i="19"/>
  <c r="U150" i="19" s="1"/>
  <c r="J261" i="19" s="1"/>
  <c r="P131" i="19"/>
  <c r="U131" i="19" s="1"/>
  <c r="J242" i="19" s="1"/>
  <c r="P151" i="19"/>
  <c r="U151" i="19" s="1"/>
  <c r="J262" i="19" s="1"/>
  <c r="P147" i="19"/>
  <c r="U147" i="19" s="1"/>
  <c r="J258" i="19" s="1"/>
  <c r="P153" i="19"/>
  <c r="U153" i="19" s="1"/>
  <c r="J264" i="19" s="1"/>
  <c r="P43" i="19"/>
  <c r="P144" i="19"/>
  <c r="U144" i="19" s="1"/>
  <c r="J255" i="19" s="1"/>
  <c r="U15" i="19"/>
  <c r="D74" i="1"/>
  <c r="F74" i="1" s="1"/>
  <c r="O70" i="9" s="1"/>
  <c r="O90" i="9" s="1"/>
  <c r="E90" i="9" s="1"/>
  <c r="U29" i="19"/>
  <c r="U31" i="19"/>
  <c r="P146" i="19"/>
  <c r="U146" i="19" s="1"/>
  <c r="J257" i="19" s="1"/>
  <c r="U14" i="19"/>
  <c r="U30" i="19"/>
  <c r="U27" i="19"/>
  <c r="C70" i="19"/>
  <c r="E101" i="9"/>
  <c r="G83" i="25" s="1"/>
  <c r="P155" i="19"/>
  <c r="U155" i="19" s="1"/>
  <c r="J266" i="19" s="1"/>
  <c r="U38" i="19"/>
  <c r="P152" i="19"/>
  <c r="U152" i="19" s="1"/>
  <c r="J263" i="19" s="1"/>
  <c r="U35" i="19"/>
  <c r="P130" i="19"/>
  <c r="U32" i="19"/>
  <c r="P149" i="19"/>
  <c r="U149" i="19" s="1"/>
  <c r="J260" i="19" s="1"/>
  <c r="P140" i="19"/>
  <c r="P138" i="19"/>
  <c r="U16" i="19"/>
  <c r="U13" i="19"/>
  <c r="F61" i="19"/>
  <c r="U37" i="19"/>
  <c r="P154" i="19"/>
  <c r="U154" i="19" s="1"/>
  <c r="J265" i="19" s="1"/>
  <c r="P142" i="19"/>
  <c r="U142" i="19" s="1"/>
  <c r="J253" i="19" s="1"/>
  <c r="P143" i="19"/>
  <c r="U143" i="19" s="1"/>
  <c r="J254" i="19" s="1"/>
  <c r="P145" i="19"/>
  <c r="U145" i="19" s="1"/>
  <c r="J256" i="19" s="1"/>
  <c r="U39" i="19"/>
  <c r="C61" i="19" l="1"/>
  <c r="F103" i="1"/>
  <c r="E70" i="9"/>
  <c r="T24" i="19" s="1"/>
  <c r="D103" i="1"/>
  <c r="O91" i="9"/>
  <c r="U130" i="19"/>
  <c r="P159" i="19"/>
  <c r="F66" i="25"/>
  <c r="H61" i="19"/>
  <c r="H66" i="25" s="1"/>
  <c r="L61" i="19"/>
  <c r="E61" i="19"/>
  <c r="C66" i="25"/>
  <c r="P66" i="25" s="1"/>
  <c r="B101" i="27"/>
  <c r="E91" i="9"/>
  <c r="E106" i="9"/>
  <c r="U24" i="19" l="1"/>
  <c r="T22" i="19"/>
  <c r="T18" i="19"/>
  <c r="T20" i="19"/>
  <c r="T23" i="19"/>
  <c r="T17" i="19"/>
  <c r="T21" i="19"/>
  <c r="T19" i="19"/>
  <c r="E84" i="9"/>
  <c r="D85" i="9" s="1"/>
  <c r="T141" i="19"/>
  <c r="F65" i="19" s="1"/>
  <c r="F70" i="25" s="1"/>
  <c r="E102" i="9"/>
  <c r="C71" i="19" s="1"/>
  <c r="E111" i="9"/>
  <c r="E94" i="9"/>
  <c r="E113" i="9"/>
  <c r="E116" i="9" s="1"/>
  <c r="G87" i="25" s="1"/>
  <c r="B102" i="27"/>
  <c r="E66" i="25"/>
  <c r="E66" i="19"/>
  <c r="N61" i="19"/>
  <c r="O61" i="19" s="1"/>
  <c r="L66" i="25"/>
  <c r="J241" i="19"/>
  <c r="U21" i="19" l="1"/>
  <c r="T140" i="19"/>
  <c r="U140" i="19" s="1"/>
  <c r="J251" i="19" s="1"/>
  <c r="T137" i="19"/>
  <c r="U137" i="19" s="1"/>
  <c r="J248" i="19" s="1"/>
  <c r="T135" i="19"/>
  <c r="U135" i="19" s="1"/>
  <c r="J246" i="19" s="1"/>
  <c r="T139" i="19"/>
  <c r="U139" i="19" s="1"/>
  <c r="J250" i="19" s="1"/>
  <c r="U18" i="19"/>
  <c r="U20" i="19"/>
  <c r="U22" i="19"/>
  <c r="T136" i="19"/>
  <c r="U136" i="19" s="1"/>
  <c r="J247" i="19" s="1"/>
  <c r="U17" i="19"/>
  <c r="T134" i="19"/>
  <c r="U134" i="19" s="1"/>
  <c r="J245" i="19" s="1"/>
  <c r="U23" i="19"/>
  <c r="T43" i="19"/>
  <c r="T138" i="19"/>
  <c r="U138" i="19" s="1"/>
  <c r="J249" i="19" s="1"/>
  <c r="U19" i="19"/>
  <c r="U141" i="19"/>
  <c r="J252" i="19" s="1"/>
  <c r="C269" i="19" s="1"/>
  <c r="F66" i="19"/>
  <c r="F71" i="25" s="1"/>
  <c r="M66" i="25"/>
  <c r="Q61" i="19"/>
  <c r="Q66" i="19" s="1"/>
  <c r="E71" i="25"/>
  <c r="B106" i="27"/>
  <c r="C75" i="19"/>
  <c r="J291" i="19" l="1"/>
  <c r="E96" i="9"/>
  <c r="C69" i="19" s="1"/>
  <c r="U42" i="19"/>
  <c r="C65" i="19"/>
  <c r="C70" i="25" s="1"/>
  <c r="P64" i="25" s="1"/>
  <c r="U43" i="19"/>
  <c r="B88" i="27"/>
  <c r="J287" i="19" s="1"/>
  <c r="L287" i="19" s="1"/>
  <c r="L238" i="19" s="1"/>
  <c r="D88" i="27"/>
  <c r="E105" i="9"/>
  <c r="C254" i="19"/>
  <c r="E254" i="19" s="1"/>
  <c r="C265" i="19"/>
  <c r="C270" i="19"/>
  <c r="T159" i="19"/>
  <c r="C259" i="19"/>
  <c r="E259" i="19" s="1"/>
  <c r="C255" i="19"/>
  <c r="E255" i="19" s="1"/>
  <c r="C253" i="19"/>
  <c r="E253" i="19" s="1"/>
  <c r="C267" i="19"/>
  <c r="C263" i="19"/>
  <c r="U159" i="19"/>
  <c r="C264" i="19"/>
  <c r="C266" i="19"/>
  <c r="C268" i="19"/>
  <c r="E112" i="9"/>
  <c r="E117" i="9" s="1"/>
  <c r="G88" i="25" s="1"/>
  <c r="C271" i="19"/>
  <c r="C262" i="19"/>
  <c r="E262" i="19" s="1"/>
  <c r="H262" i="19" s="1"/>
  <c r="C257" i="19"/>
  <c r="E257" i="19" s="1"/>
  <c r="C260" i="19"/>
  <c r="E260" i="19" s="1"/>
  <c r="C261" i="19"/>
  <c r="E261" i="19" s="1"/>
  <c r="C256" i="19"/>
  <c r="E256" i="19" s="1"/>
  <c r="C258" i="19"/>
  <c r="E258" i="19" s="1"/>
  <c r="J297" i="19" l="1"/>
  <c r="K297" i="19" s="1"/>
  <c r="J294" i="19"/>
  <c r="K294" i="19" s="1"/>
  <c r="P67" i="25"/>
  <c r="C66" i="19"/>
  <c r="C73" i="19" s="1"/>
  <c r="L242" i="19"/>
  <c r="L257" i="19"/>
  <c r="L278" i="19"/>
  <c r="L245" i="19"/>
  <c r="L248" i="19"/>
  <c r="L236" i="19"/>
  <c r="L250" i="19"/>
  <c r="L240" i="19"/>
  <c r="L280" i="19"/>
  <c r="L252" i="19"/>
  <c r="L246" i="19"/>
  <c r="M287" i="19"/>
  <c r="M241" i="19" s="1"/>
  <c r="L253" i="19"/>
  <c r="L255" i="19"/>
  <c r="L237" i="19"/>
  <c r="L243" i="19"/>
  <c r="L244" i="19"/>
  <c r="L235" i="19"/>
  <c r="L247" i="19"/>
  <c r="L258" i="19"/>
  <c r="L259" i="19"/>
  <c r="L281" i="19"/>
  <c r="L254" i="19"/>
  <c r="L251" i="19"/>
  <c r="L279" i="19"/>
  <c r="L241" i="19"/>
  <c r="L261" i="19"/>
  <c r="L282" i="19"/>
  <c r="L256" i="19"/>
  <c r="L239" i="19"/>
  <c r="L249" i="19"/>
  <c r="L260" i="19"/>
  <c r="H259" i="19"/>
  <c r="H260" i="19"/>
  <c r="H254" i="19"/>
  <c r="H258" i="19"/>
  <c r="H255" i="19"/>
  <c r="H261" i="19"/>
  <c r="H257" i="19"/>
  <c r="L262" i="19"/>
  <c r="E263" i="19"/>
  <c r="H253" i="19"/>
  <c r="H256" i="19"/>
  <c r="Q65" i="25" l="1"/>
  <c r="Q63" i="25"/>
  <c r="Q66" i="25"/>
  <c r="Q64" i="25"/>
  <c r="M257" i="19"/>
  <c r="C67" i="19"/>
  <c r="C71" i="25"/>
  <c r="X202" i="19"/>
  <c r="M238" i="19"/>
  <c r="M248" i="19"/>
  <c r="M246" i="19"/>
  <c r="M259" i="19"/>
  <c r="M235" i="19"/>
  <c r="M262" i="19"/>
  <c r="M249" i="19"/>
  <c r="M250" i="19"/>
  <c r="M237" i="19"/>
  <c r="M261" i="19"/>
  <c r="M242" i="19"/>
  <c r="M244" i="19"/>
  <c r="M254" i="19"/>
  <c r="M243" i="19"/>
  <c r="M245" i="19"/>
  <c r="N287" i="19"/>
  <c r="N246" i="19" s="1"/>
  <c r="M240" i="19"/>
  <c r="M253" i="19"/>
  <c r="M258" i="19"/>
  <c r="M251" i="19"/>
  <c r="M247" i="19"/>
  <c r="M239" i="19"/>
  <c r="M236" i="19"/>
  <c r="M260" i="19"/>
  <c r="M252" i="19"/>
  <c r="M255" i="19"/>
  <c r="M256" i="19"/>
  <c r="L263" i="19"/>
  <c r="E264" i="19"/>
  <c r="F263" i="19"/>
  <c r="M263" i="19" s="1"/>
  <c r="X63" i="25" l="1"/>
  <c r="X66" i="25" s="1"/>
  <c r="X64" i="25"/>
  <c r="X67" i="25" s="1"/>
  <c r="V64" i="25"/>
  <c r="V67" i="25" s="1"/>
  <c r="V63" i="25"/>
  <c r="V66" i="25" s="1"/>
  <c r="Q67" i="25"/>
  <c r="U64" i="25"/>
  <c r="U63" i="25"/>
  <c r="W63" i="25"/>
  <c r="W66" i="25" s="1"/>
  <c r="W64" i="25"/>
  <c r="W67" i="25" s="1"/>
  <c r="O246" i="19"/>
  <c r="N269" i="19"/>
  <c r="N245" i="19"/>
  <c r="O245" i="19" s="1"/>
  <c r="N272" i="19"/>
  <c r="N261" i="19"/>
  <c r="O261" i="19" s="1"/>
  <c r="N247" i="19"/>
  <c r="O247" i="19" s="1"/>
  <c r="N235" i="19"/>
  <c r="O235" i="19" s="1"/>
  <c r="N239" i="19"/>
  <c r="O239" i="19" s="1"/>
  <c r="N263" i="19"/>
  <c r="O263" i="19" s="1"/>
  <c r="N268" i="19"/>
  <c r="N242" i="19"/>
  <c r="O242" i="19" s="1"/>
  <c r="N257" i="19"/>
  <c r="O257" i="19" s="1"/>
  <c r="N253" i="19"/>
  <c r="O253" i="19" s="1"/>
  <c r="N270" i="19"/>
  <c r="N238" i="19"/>
  <c r="O238" i="19" s="1"/>
  <c r="N241" i="19"/>
  <c r="O241" i="19" s="1"/>
  <c r="N240" i="19"/>
  <c r="O240" i="19" s="1"/>
  <c r="N243" i="19"/>
  <c r="O243" i="19" s="1"/>
  <c r="N237" i="19"/>
  <c r="O237" i="19" s="1"/>
  <c r="N266" i="19"/>
  <c r="N271" i="19"/>
  <c r="N256" i="19"/>
  <c r="O256" i="19" s="1"/>
  <c r="N244" i="19"/>
  <c r="O244" i="19" s="1"/>
  <c r="N250" i="19"/>
  <c r="O250" i="19" s="1"/>
  <c r="N267" i="19"/>
  <c r="N264" i="19"/>
  <c r="N265" i="19"/>
  <c r="N258" i="19"/>
  <c r="O258" i="19" s="1"/>
  <c r="N255" i="19"/>
  <c r="O255" i="19" s="1"/>
  <c r="N236" i="19"/>
  <c r="O236" i="19" s="1"/>
  <c r="N262" i="19"/>
  <c r="O262" i="19" s="1"/>
  <c r="N254" i="19"/>
  <c r="O254" i="19" s="1"/>
  <c r="N251" i="19"/>
  <c r="O251" i="19" s="1"/>
  <c r="N260" i="19"/>
  <c r="O260" i="19" s="1"/>
  <c r="N259" i="19"/>
  <c r="O259" i="19" s="1"/>
  <c r="N252" i="19"/>
  <c r="O252" i="19" s="1"/>
  <c r="N248" i="19"/>
  <c r="O248" i="19" s="1"/>
  <c r="N249" i="19"/>
  <c r="O249" i="19" s="1"/>
  <c r="H263" i="19"/>
  <c r="E265" i="19"/>
  <c r="L264" i="19"/>
  <c r="F264" i="19"/>
  <c r="M264" i="19" s="1"/>
  <c r="E127" i="9" l="1"/>
  <c r="G196" i="25" s="1"/>
  <c r="U66" i="25"/>
  <c r="Y66" i="25" s="1"/>
  <c r="Y63" i="25"/>
  <c r="U67" i="25"/>
  <c r="Y67" i="25" s="1"/>
  <c r="Y64" i="25"/>
  <c r="O264" i="19"/>
  <c r="H264" i="19"/>
  <c r="E266" i="19"/>
  <c r="L265" i="19"/>
  <c r="F265" i="19"/>
  <c r="M265" i="19" s="1"/>
  <c r="Z64" i="25" l="1"/>
  <c r="Z66" i="25"/>
  <c r="H265" i="19"/>
  <c r="L266" i="19"/>
  <c r="E267" i="19"/>
  <c r="F266" i="19"/>
  <c r="M266" i="19" s="1"/>
  <c r="O265" i="19"/>
  <c r="H266" i="19" l="1"/>
  <c r="O266" i="19"/>
  <c r="E268" i="19"/>
  <c r="L267" i="19"/>
  <c r="F267" i="19"/>
  <c r="M267" i="19" s="1"/>
  <c r="H267" i="19" l="1"/>
  <c r="O267" i="19"/>
  <c r="E269" i="19"/>
  <c r="L268" i="19"/>
  <c r="F268" i="19"/>
  <c r="M268" i="19" s="1"/>
  <c r="H268" i="19" l="1"/>
  <c r="E270" i="19"/>
  <c r="L269" i="19"/>
  <c r="F269" i="19"/>
  <c r="M269" i="19" s="1"/>
  <c r="O268" i="19"/>
  <c r="E121" i="9" l="1"/>
  <c r="H269" i="19"/>
  <c r="E271" i="19"/>
  <c r="L270" i="19"/>
  <c r="F270" i="19"/>
  <c r="M270" i="19" s="1"/>
  <c r="O269" i="19"/>
  <c r="E126" i="9" l="1"/>
  <c r="G195" i="25" s="1"/>
  <c r="E123" i="9"/>
  <c r="H270" i="19"/>
  <c r="L271" i="19"/>
  <c r="E272" i="19"/>
  <c r="F271" i="19"/>
  <c r="M271" i="19" s="1"/>
  <c r="O270" i="19"/>
  <c r="H271" i="19" l="1"/>
  <c r="L272" i="19"/>
  <c r="E273" i="19"/>
  <c r="F272" i="19"/>
  <c r="H272" i="19" s="1"/>
  <c r="O271" i="19"/>
  <c r="M272" i="19" l="1"/>
  <c r="O272" i="19" s="1"/>
  <c r="F273" i="19"/>
  <c r="G273" i="19" s="1"/>
  <c r="N273" i="19" s="1"/>
  <c r="L273" i="19"/>
  <c r="E274" i="19"/>
  <c r="E275" i="19" l="1"/>
  <c r="L274" i="19"/>
  <c r="H273" i="19"/>
  <c r="F274" i="19"/>
  <c r="G274" i="19" s="1"/>
  <c r="N274" i="19" s="1"/>
  <c r="M273" i="19"/>
  <c r="O273" i="19" s="1"/>
  <c r="M274" i="19" l="1"/>
  <c r="O274" i="19" s="1"/>
  <c r="F275" i="19"/>
  <c r="G275" i="19" s="1"/>
  <c r="N275" i="19" s="1"/>
  <c r="H274" i="19"/>
  <c r="L275" i="19"/>
  <c r="E276" i="19"/>
  <c r="L276" i="19" l="1"/>
  <c r="E277" i="19"/>
  <c r="H275" i="19"/>
  <c r="F276" i="19"/>
  <c r="M275" i="19"/>
  <c r="O275" i="19" s="1"/>
  <c r="L277" i="19" l="1"/>
  <c r="L291" i="19" s="1"/>
  <c r="F277" i="19"/>
  <c r="M276" i="19"/>
  <c r="G276" i="19"/>
  <c r="N276" i="19" s="1"/>
  <c r="G201" i="25" l="1"/>
  <c r="G203" i="25" s="1"/>
  <c r="L294" i="19"/>
  <c r="L297" i="19"/>
  <c r="O276" i="19"/>
  <c r="H276" i="19"/>
  <c r="F278" i="19"/>
  <c r="M277" i="19"/>
  <c r="G277" i="19"/>
  <c r="N277" i="19" l="1"/>
  <c r="O277" i="19" s="1"/>
  <c r="H277" i="19"/>
  <c r="M278" i="19"/>
  <c r="F279" i="19"/>
  <c r="G278" i="19"/>
  <c r="N278" i="19" s="1"/>
  <c r="F280" i="19" l="1"/>
  <c r="M279" i="19"/>
  <c r="G279" i="19"/>
  <c r="N279" i="19" s="1"/>
  <c r="H278" i="19"/>
  <c r="O278" i="19"/>
  <c r="H279" i="19" l="1"/>
  <c r="O279" i="19"/>
  <c r="G280" i="19"/>
  <c r="N280" i="19" s="1"/>
  <c r="M280" i="19"/>
  <c r="F281" i="19"/>
  <c r="H280" i="19" l="1"/>
  <c r="F282" i="19"/>
  <c r="G281" i="19"/>
  <c r="N281" i="19" s="1"/>
  <c r="M281" i="19"/>
  <c r="O280" i="19"/>
  <c r="H281" i="19" l="1"/>
  <c r="O281" i="19"/>
  <c r="G282" i="19"/>
  <c r="N282" i="19" s="1"/>
  <c r="N291" i="19" s="1"/>
  <c r="M282" i="19"/>
  <c r="M291" i="19" s="1"/>
  <c r="G211" i="25" l="1"/>
  <c r="G209" i="25"/>
  <c r="M294" i="19"/>
  <c r="M297" i="19"/>
  <c r="N297" i="19" s="1"/>
  <c r="O282" i="19"/>
  <c r="H282" i="19"/>
  <c r="G213" i="25" l="1"/>
  <c r="N294" i="19"/>
  <c r="O283" i="19"/>
  <c r="O286" i="19" s="1"/>
  <c r="O291" i="19"/>
  <c r="X205" i="19" l="1"/>
</calcChain>
</file>

<file path=xl/comments1.xml><?xml version="1.0" encoding="utf-8"?>
<comments xmlns="http://schemas.openxmlformats.org/spreadsheetml/2006/main">
  <authors>
    <author>Auteur</author>
  </authors>
  <commentList>
    <comment ref="B6" authorId="0">
      <text>
        <r>
          <rPr>
            <sz val="9"/>
            <color indexed="81"/>
            <rFont val="Tahoma"/>
            <family val="2"/>
          </rPr>
          <t xml:space="preserve">0,07 euro per kWh
</t>
        </r>
      </text>
    </comment>
    <comment ref="B8" authorId="0">
      <text>
        <r>
          <rPr>
            <sz val="9"/>
            <color indexed="81"/>
            <rFont val="Tahoma"/>
            <family val="2"/>
          </rPr>
          <t xml:space="preserve">0,07 euro per kWh
</t>
        </r>
      </text>
    </comment>
    <comment ref="B9" authorId="0">
      <text>
        <r>
          <rPr>
            <sz val="9"/>
            <color indexed="81"/>
            <rFont val="Tahoma"/>
            <family val="2"/>
          </rPr>
          <t>0,028 euro per kWh</t>
        </r>
      </text>
    </comment>
    <comment ref="B10" authorId="0">
      <text>
        <r>
          <rPr>
            <sz val="9"/>
            <color indexed="81"/>
            <rFont val="Tahoma"/>
            <family val="2"/>
          </rPr>
          <t xml:space="preserve">2200 uur
</t>
        </r>
      </text>
    </comment>
    <comment ref="B11" authorId="0">
      <text>
        <r>
          <rPr>
            <sz val="9"/>
            <color indexed="81"/>
            <rFont val="Tahoma"/>
            <family val="2"/>
          </rPr>
          <t>6000 MW. Algemene Rekenkamer denkt dat slechts 5000MW haalbaar is en rekent daar mee. Moet &gt; 3856 MW zijn want dat is al gerealiseerd per eind 2016.</t>
        </r>
      </text>
    </comment>
    <comment ref="B13" authorId="0">
      <text>
        <r>
          <rPr>
            <sz val="9"/>
            <color indexed="81"/>
            <rFont val="Tahoma"/>
            <family val="2"/>
          </rPr>
          <t xml:space="preserve">0,05 Euro per kWh
</t>
        </r>
      </text>
    </comment>
    <comment ref="B14" authorId="0">
      <text>
        <r>
          <rPr>
            <sz val="9"/>
            <color indexed="81"/>
            <rFont val="Tahoma"/>
            <family val="2"/>
          </rPr>
          <t>0,028 euro per kWh</t>
        </r>
      </text>
    </comment>
    <comment ref="B15" authorId="0">
      <text>
        <r>
          <rPr>
            <sz val="9"/>
            <color indexed="81"/>
            <rFont val="Tahoma"/>
            <family val="2"/>
          </rPr>
          <t xml:space="preserve">3900 uur
</t>
        </r>
      </text>
    </comment>
    <comment ref="B16" authorId="0">
      <text>
        <r>
          <rPr>
            <sz val="9"/>
            <color indexed="81"/>
            <rFont val="Tahoma"/>
            <family val="2"/>
          </rPr>
          <t>4450 MW. Algemene Rekenkamer denkt dat niet meer dan 3312MW haalbaar is en rekent daar mee.
2.338MW is al toegekend dus minder kan niet.</t>
        </r>
      </text>
    </comment>
    <comment ref="B17" authorId="0">
      <text>
        <r>
          <rPr>
            <sz val="9"/>
            <color indexed="81"/>
            <rFont val="Tahoma"/>
            <family val="2"/>
          </rPr>
          <t xml:space="preserve">3000 mln euro
</t>
        </r>
      </text>
    </comment>
    <comment ref="B19" authorId="0">
      <text>
        <r>
          <rPr>
            <sz val="9"/>
            <color indexed="81"/>
            <rFont val="Tahoma"/>
            <family val="2"/>
          </rPr>
          <t>0,10 euro per kWh</t>
        </r>
      </text>
    </comment>
    <comment ref="B20" authorId="0">
      <text>
        <r>
          <rPr>
            <sz val="9"/>
            <color indexed="81"/>
            <rFont val="Tahoma"/>
            <family val="2"/>
          </rPr>
          <t>0,033 euro per kWh</t>
        </r>
      </text>
    </comment>
    <comment ref="B21" authorId="0">
      <text>
        <r>
          <rPr>
            <sz val="9"/>
            <color indexed="81"/>
            <rFont val="Tahoma"/>
            <family val="2"/>
          </rPr>
          <t>3500 MW. Hoger dan 1515MW want dat staat er al in 2015</t>
        </r>
      </text>
    </comment>
    <comment ref="B22" authorId="0">
      <text>
        <r>
          <rPr>
            <b/>
            <sz val="9"/>
            <color indexed="81"/>
            <rFont val="Tahoma"/>
            <family val="2"/>
          </rPr>
          <t>15%</t>
        </r>
      </text>
    </comment>
    <comment ref="B23" authorId="0">
      <text>
        <r>
          <rPr>
            <sz val="9"/>
            <color indexed="81"/>
            <rFont val="Tahoma"/>
            <family val="2"/>
          </rPr>
          <t>0,10 euro per kWh</t>
        </r>
      </text>
    </comment>
    <comment ref="B24" authorId="0">
      <text>
        <r>
          <rPr>
            <sz val="9"/>
            <color indexed="81"/>
            <rFont val="Tahoma"/>
            <family val="2"/>
          </rPr>
          <t>0,05 Euro</t>
        </r>
      </text>
    </comment>
    <comment ref="B26" authorId="0">
      <text>
        <r>
          <rPr>
            <sz val="9"/>
            <color indexed="81"/>
            <rFont val="Tahoma"/>
            <family val="2"/>
          </rPr>
          <t>0,095-0,029=0,066 euro per kWh.</t>
        </r>
      </text>
    </comment>
    <comment ref="B27" authorId="0">
      <text>
        <r>
          <rPr>
            <sz val="9"/>
            <color indexed="81"/>
            <rFont val="Tahoma"/>
            <family val="2"/>
          </rPr>
          <t xml:space="preserve">1,6 PJ
</t>
        </r>
      </text>
    </comment>
    <comment ref="B29" authorId="0">
      <text>
        <r>
          <rPr>
            <sz val="9"/>
            <color indexed="81"/>
            <rFont val="Tahoma"/>
            <family val="2"/>
          </rPr>
          <t>0,057-0,012=0,045euro per kWh</t>
        </r>
      </text>
    </comment>
    <comment ref="B30" authorId="0">
      <text>
        <r>
          <rPr>
            <sz val="9"/>
            <color indexed="81"/>
            <rFont val="Tahoma"/>
            <family val="2"/>
          </rPr>
          <t>6,8 PJ</t>
        </r>
      </text>
    </comment>
    <comment ref="B32" authorId="0">
      <text>
        <r>
          <rPr>
            <sz val="9"/>
            <color indexed="81"/>
            <rFont val="Tahoma"/>
            <family val="2"/>
          </rPr>
          <t>0,01 euro per kWh</t>
        </r>
      </text>
    </comment>
    <comment ref="B33" authorId="0">
      <text>
        <r>
          <rPr>
            <sz val="9"/>
            <color indexed="81"/>
            <rFont val="Tahoma"/>
            <family val="2"/>
          </rPr>
          <t>11,9 PJ</t>
        </r>
      </text>
    </comment>
    <comment ref="B35" authorId="0">
      <text>
        <r>
          <rPr>
            <sz val="9"/>
            <color indexed="81"/>
            <rFont val="Tahoma"/>
            <family val="2"/>
          </rPr>
          <t>0,10 euro per kWh</t>
        </r>
      </text>
    </comment>
    <comment ref="B36" authorId="0">
      <text>
        <r>
          <rPr>
            <sz val="9"/>
            <color indexed="81"/>
            <rFont val="Tahoma"/>
            <family val="2"/>
          </rPr>
          <t>0,038 euro per kWh</t>
        </r>
      </text>
    </comment>
    <comment ref="B37" authorId="0">
      <text>
        <r>
          <rPr>
            <sz val="9"/>
            <color indexed="81"/>
            <rFont val="Tahoma"/>
            <family val="2"/>
          </rPr>
          <t>39,1 PJ. Is in 2016 22,4 PJ in AVI's en bijstook. Dus dat is het minimum.</t>
        </r>
      </text>
    </comment>
    <comment ref="B39" authorId="0">
      <text>
        <r>
          <rPr>
            <sz val="9"/>
            <color indexed="81"/>
            <rFont val="Tahoma"/>
            <family val="2"/>
          </rPr>
          <t>0,06 Euro per kWh</t>
        </r>
      </text>
    </comment>
    <comment ref="B40" authorId="0">
      <text>
        <r>
          <rPr>
            <sz val="9"/>
            <color indexed="81"/>
            <rFont val="Tahoma"/>
            <family val="2"/>
          </rPr>
          <t>0,015 euro per kWh</t>
        </r>
      </text>
    </comment>
    <comment ref="B41" authorId="0">
      <text>
        <r>
          <rPr>
            <sz val="9"/>
            <color indexed="81"/>
            <rFont val="Tahoma"/>
            <family val="2"/>
          </rPr>
          <t xml:space="preserve"> 142,4 PJ (Zie *20) - 18,8PJ (doel biomassa stook bij particulieren)-39,1 PJ (doel elektra uit biomassa)-34,5PJ (doel biobrandstoffen)=50PJ. Meer dan 25PJ want dat is het anno 2013 al.</t>
        </r>
      </text>
    </comment>
    <comment ref="B42" authorId="0">
      <text>
        <r>
          <rPr>
            <sz val="9"/>
            <color indexed="81"/>
            <rFont val="Tahoma"/>
            <family val="2"/>
          </rPr>
          <t>18,8 PJ/jaar 
(autonome stijging)
Het is anno 2016 al 18,6PJ/jaar, dus lager kan niet.</t>
        </r>
      </text>
    </comment>
    <comment ref="B44" authorId="0">
      <text>
        <r>
          <rPr>
            <sz val="9"/>
            <color indexed="81"/>
            <rFont val="Tahoma"/>
            <family val="2"/>
          </rPr>
          <t>21.000 auto's</t>
        </r>
      </text>
    </comment>
    <comment ref="B45" authorId="0">
      <text>
        <r>
          <rPr>
            <sz val="9"/>
            <color indexed="81"/>
            <rFont val="Tahoma"/>
            <family val="2"/>
          </rPr>
          <t>15.000 euro</t>
        </r>
      </text>
    </comment>
    <comment ref="B48" authorId="0">
      <text>
        <r>
          <rPr>
            <sz val="9"/>
            <color indexed="81"/>
            <rFont val="Tahoma"/>
            <family val="2"/>
          </rPr>
          <t>25 euro per MWh elektra wind bij 15-25% wind in elektra mix.</t>
        </r>
      </text>
    </comment>
    <comment ref="B49" authorId="0">
      <text>
        <r>
          <rPr>
            <sz val="9"/>
            <color indexed="81"/>
            <rFont val="Tahoma"/>
            <family val="2"/>
          </rPr>
          <t>4000 mln euro</t>
        </r>
      </text>
    </comment>
    <comment ref="B50" authorId="0">
      <text>
        <r>
          <rPr>
            <sz val="9"/>
            <color indexed="81"/>
            <rFont val="Tahoma"/>
            <family val="2"/>
          </rPr>
          <t>2500 mln euro</t>
        </r>
      </text>
    </comment>
    <comment ref="B51" authorId="0">
      <text>
        <r>
          <rPr>
            <sz val="9"/>
            <color indexed="81"/>
            <rFont val="Tahoma"/>
            <family val="2"/>
          </rPr>
          <t>1,5%</t>
        </r>
      </text>
    </comment>
    <comment ref="B52" authorId="0">
      <text>
        <r>
          <rPr>
            <sz val="9"/>
            <color indexed="81"/>
            <rFont val="Tahoma"/>
            <family val="2"/>
          </rPr>
          <t>624 mln euro</t>
        </r>
      </text>
    </comment>
    <comment ref="B53" authorId="0">
      <text>
        <r>
          <rPr>
            <sz val="9"/>
            <color indexed="81"/>
            <rFont val="Tahoma"/>
            <family val="2"/>
          </rPr>
          <t>70%</t>
        </r>
      </text>
    </comment>
    <comment ref="B54" authorId="0">
      <text>
        <r>
          <rPr>
            <sz val="9"/>
            <color indexed="81"/>
            <rFont val="Tahoma"/>
            <family val="2"/>
          </rPr>
          <t>150 mln euro</t>
        </r>
      </text>
    </comment>
    <comment ref="B55" authorId="0">
      <text>
        <r>
          <rPr>
            <sz val="9"/>
            <color indexed="81"/>
            <rFont val="Tahoma"/>
            <family val="2"/>
          </rPr>
          <t>100 mln euro</t>
        </r>
      </text>
    </comment>
    <comment ref="B58" authorId="0">
      <text>
        <r>
          <rPr>
            <sz val="9"/>
            <color indexed="81"/>
            <rFont val="Tahoma"/>
            <family val="2"/>
          </rPr>
          <t>3500 kWh</t>
        </r>
      </text>
    </comment>
    <comment ref="B59" authorId="0">
      <text>
        <r>
          <rPr>
            <sz val="9"/>
            <color indexed="81"/>
            <rFont val="Tahoma"/>
            <family val="2"/>
          </rPr>
          <t>7,6 mln</t>
        </r>
      </text>
    </comment>
    <comment ref="B60" authorId="0">
      <text>
        <r>
          <rPr>
            <sz val="9"/>
            <color indexed="81"/>
            <rFont val="Tahoma"/>
            <family val="2"/>
          </rPr>
          <t>0,5 mln</t>
        </r>
      </text>
    </comment>
    <comment ref="B61" authorId="0">
      <text>
        <r>
          <rPr>
            <sz val="9"/>
            <color indexed="81"/>
            <rFont val="Tahoma"/>
            <family val="2"/>
          </rPr>
          <t>2020 PJ/jaar</t>
        </r>
      </text>
    </comment>
    <comment ref="B65" authorId="0">
      <text>
        <r>
          <rPr>
            <sz val="9"/>
            <color indexed="81"/>
            <rFont val="Tahoma"/>
            <family val="2"/>
          </rPr>
          <t>526</t>
        </r>
      </text>
    </comment>
    <comment ref="B66" authorId="0">
      <text>
        <r>
          <rPr>
            <sz val="9"/>
            <color indexed="81"/>
            <rFont val="Tahoma"/>
            <family val="2"/>
          </rPr>
          <t xml:space="preserve">0
</t>
        </r>
      </text>
    </comment>
    <comment ref="B67" authorId="0">
      <text>
        <r>
          <rPr>
            <sz val="9"/>
            <color indexed="81"/>
            <rFont val="Tahoma"/>
            <family val="2"/>
          </rPr>
          <t xml:space="preserve">0
</t>
        </r>
      </text>
    </comment>
    <comment ref="B68" authorId="0">
      <text>
        <r>
          <rPr>
            <sz val="9"/>
            <color indexed="81"/>
            <rFont val="Tahoma"/>
            <family val="2"/>
          </rPr>
          <t xml:space="preserve">0
</t>
        </r>
      </text>
    </comment>
    <comment ref="B69" authorId="0">
      <text>
        <r>
          <rPr>
            <sz val="9"/>
            <color indexed="81"/>
            <rFont val="Tahoma"/>
            <family val="2"/>
          </rPr>
          <t xml:space="preserve">0
</t>
        </r>
      </text>
    </comment>
    <comment ref="B70" authorId="0">
      <text>
        <r>
          <rPr>
            <sz val="9"/>
            <color indexed="81"/>
            <rFont val="Tahoma"/>
            <family val="2"/>
          </rPr>
          <t>189</t>
        </r>
      </text>
    </comment>
    <comment ref="B72" authorId="0">
      <text>
        <r>
          <rPr>
            <sz val="9"/>
            <color indexed="81"/>
            <rFont val="Tahoma"/>
            <family val="2"/>
          </rPr>
          <t xml:space="preserve">
203</t>
        </r>
      </text>
    </comment>
    <comment ref="B74" authorId="0">
      <text>
        <r>
          <rPr>
            <sz val="9"/>
            <color indexed="81"/>
            <rFont val="Tahoma"/>
            <family val="2"/>
          </rPr>
          <t xml:space="preserve">0
</t>
        </r>
      </text>
    </comment>
    <comment ref="B75" authorId="0">
      <text>
        <r>
          <rPr>
            <sz val="9"/>
            <color indexed="81"/>
            <rFont val="Tahoma"/>
            <family val="2"/>
          </rPr>
          <t>90</t>
        </r>
      </text>
    </comment>
    <comment ref="B76" authorId="0">
      <text>
        <r>
          <rPr>
            <sz val="9"/>
            <color indexed="81"/>
            <rFont val="Tahoma"/>
            <family val="2"/>
          </rPr>
          <t>90</t>
        </r>
      </text>
    </comment>
    <comment ref="B77" authorId="0">
      <text>
        <r>
          <rPr>
            <sz val="9"/>
            <color indexed="81"/>
            <rFont val="Tahoma"/>
            <family val="2"/>
          </rPr>
          <t xml:space="preserve">526/5 </t>
        </r>
      </text>
    </comment>
    <comment ref="B78" authorId="0">
      <text>
        <r>
          <rPr>
            <sz val="9"/>
            <color indexed="81"/>
            <rFont val="Tahoma"/>
            <family val="2"/>
          </rPr>
          <t xml:space="preserve">20
</t>
        </r>
      </text>
    </comment>
    <comment ref="B83" authorId="0">
      <text>
        <r>
          <rPr>
            <sz val="9"/>
            <color indexed="81"/>
            <rFont val="Tahoma"/>
            <family val="2"/>
          </rPr>
          <t>+(39*0,4+43*0,6)=41,4
Bij 40% benzine en 60% dieselgebruik.  
De vermelde emissiegetallen uit 30* en 31* zijn de directe CO2 emissies voor het cultiveren, processen, transporteren en distribueren van de bio-brandstof. 
Bij een uitgebreide LCA (Lifecycle Analysis) kan daarnaast ook nog CO2 emissies als gevolg van ‘indirect land-use change’ (ILUC) in rekening gebracht worden. Dit is bijvoorbeeld gedaan in het Globiom rapport (*38), waaraan gerefereerd wordt in de publicatie van Natuur &amp; Milieu van 25 april 2016. Indien het ILUC effect meegenomen wordt, blijkt dat dit voor 1G biodiesel (met name voor palm olie en sojabonen olie) relatief groot is ten opzichte van de directe emissies ten gevolge van het biobrandstof productieproces. Dit is voornamelijk het gevolg van ontbossing en de oxidatie van de humuslaag (‘peatland oxidation’), ondermeer in Indonesië en Maleisië. Het rapport concludeert daarentegen ook dat conventionele ethanol grondstoffen (suiker en zetmeel) een veel lagere ILUC emissie effect hebben (ca. 16 gCO2e/MJ). Ook inclusief het ILUC effect blijken de CO2 emissies van 1G bioethanol beduidend lager te zijn dan die van fossiele brandstoffen. Dit kan echter niet gezegd worden van biodiesel (zie figuur bij *38). Uit de figuur valt verder ook af te leiden dat in geval van gebruik van 2e generatie biobrandstoffen (onder ‘Advanced’) een grote emissiereductie ten opzichte van fossiele brandstoffen gerealiseerd kan worden.</t>
        </r>
      </text>
    </comment>
    <comment ref="B84" authorId="0">
      <text>
        <r>
          <rPr>
            <sz val="9"/>
            <color indexed="81"/>
            <rFont val="Tahoma"/>
            <family val="2"/>
          </rPr>
          <t>(41,4)*3.6 = 149</t>
        </r>
      </text>
    </comment>
    <comment ref="B88" authorId="0">
      <text>
        <r>
          <rPr>
            <sz val="9"/>
            <color indexed="81"/>
            <rFont val="Tahoma"/>
            <family val="2"/>
          </rPr>
          <t>getal is default gelijk aan de gemiddelde uitgaven per % hernieuwbare energie zoals berekend in dit model, maar er kan ook een ander getal worden ingevuld.</t>
        </r>
      </text>
    </comment>
    <comment ref="B89" authorId="0">
      <text>
        <r>
          <rPr>
            <b/>
            <sz val="9"/>
            <color indexed="81"/>
            <rFont val="Tahoma"/>
            <family val="2"/>
          </rPr>
          <t>0%</t>
        </r>
        <r>
          <rPr>
            <sz val="9"/>
            <color indexed="81"/>
            <rFont val="Tahoma"/>
            <family val="2"/>
          </rPr>
          <t xml:space="preserve">
</t>
        </r>
      </text>
    </comment>
    <comment ref="B90" authorId="0">
      <text>
        <r>
          <rPr>
            <sz val="9"/>
            <color indexed="81"/>
            <rFont val="Tahoma"/>
            <family val="2"/>
          </rPr>
          <t xml:space="preserve">27% 
geen vaststaand beleid
</t>
        </r>
      </text>
    </comment>
    <comment ref="B91" authorId="0">
      <text>
        <r>
          <rPr>
            <sz val="9"/>
            <color indexed="81"/>
            <rFont val="Tahoma"/>
            <family val="2"/>
          </rPr>
          <t>50%
geen vaststaand beleid</t>
        </r>
      </text>
    </comment>
    <comment ref="B92" authorId="0">
      <text>
        <r>
          <rPr>
            <sz val="9"/>
            <color indexed="81"/>
            <rFont val="Tahoma"/>
            <family val="2"/>
          </rPr>
          <t xml:space="preserve">85%. Geen vaststaand beleid. Overige CO2 reductie moet uit energiebesparing komen
</t>
        </r>
      </text>
    </comment>
  </commentList>
</comments>
</file>

<file path=xl/comments2.xml><?xml version="1.0" encoding="utf-8"?>
<comments xmlns="http://schemas.openxmlformats.org/spreadsheetml/2006/main">
  <authors>
    <author>Auteur</author>
  </authors>
  <commentList>
    <comment ref="C234" authorId="0">
      <text>
        <r>
          <rPr>
            <b/>
            <sz val="9"/>
            <color indexed="81"/>
            <rFont val="Tahoma"/>
            <family val="2"/>
          </rPr>
          <t>Auteur:</t>
        </r>
        <r>
          <rPr>
            <sz val="9"/>
            <color indexed="81"/>
            <rFont val="Tahoma"/>
            <family val="2"/>
          </rPr>
          <t xml:space="preserve">
Uitgaande van lineair verband tussen afname kosten en afname duurzaam aandeel</t>
        </r>
      </text>
    </comment>
    <comment ref="C253" authorId="0">
      <text>
        <r>
          <rPr>
            <sz val="9"/>
            <color indexed="81"/>
            <rFont val="Tahoma"/>
            <family val="2"/>
          </rPr>
          <t xml:space="preserve">Dit % is een fictief getal om grafiek zonder knik in 2020 te maken. Je neemt aan dat de uitgaven voor het volgende segment gelijk fors beginnen en niet opbouwen
</t>
        </r>
      </text>
    </comment>
    <comment ref="B255" authorId="0">
      <text>
        <r>
          <rPr>
            <sz val="9"/>
            <color indexed="81"/>
            <rFont val="Tahoma"/>
            <family val="2"/>
          </rPr>
          <t>Werkelijk percentage berekend uit dit model</t>
        </r>
      </text>
    </comment>
  </commentList>
</comments>
</file>

<file path=xl/comments3.xml><?xml version="1.0" encoding="utf-8"?>
<comments xmlns="http://schemas.openxmlformats.org/spreadsheetml/2006/main">
  <authors>
    <author>Auteur</author>
  </authors>
  <commentList>
    <comment ref="E14" authorId="0">
      <text>
        <r>
          <rPr>
            <sz val="9"/>
            <color indexed="81"/>
            <rFont val="Tahoma"/>
            <family val="2"/>
          </rPr>
          <t>0,4
komt niks bij. Wat er is blijft draaien</t>
        </r>
      </text>
    </comment>
    <comment ref="E15" authorId="0">
      <text>
        <r>
          <rPr>
            <sz val="9"/>
            <color indexed="81"/>
            <rFont val="Tahoma"/>
            <family val="2"/>
          </rPr>
          <t>=Aanname: Alle molens gebouwd tm 2013  blijven doordraaien zonder subsidie  (ref *7 spreekt over 1131MW in de MEP)</t>
        </r>
      </text>
    </comment>
    <comment ref="E16" authorId="0">
      <text>
        <r>
          <rPr>
            <sz val="9"/>
            <color indexed="81"/>
            <rFont val="Tahoma"/>
            <family val="2"/>
          </rPr>
          <t xml:space="preserve">OWEZ (Ijmuiden) en Q7 Amalia (Egmond)
</t>
        </r>
      </text>
    </comment>
    <comment ref="E17" authorId="0">
      <text>
        <r>
          <rPr>
            <sz val="9"/>
            <color indexed="81"/>
            <rFont val="Tahoma"/>
            <family val="2"/>
          </rPr>
          <t xml:space="preserve">0, Bestaand kleinschalig Zon PV profiteert blijvend van energiebelastingvrijstelling, dus wordt niet beschouwd als autonoom.
</t>
        </r>
      </text>
    </comment>
    <comment ref="E18" authorId="0">
      <text>
        <r>
          <rPr>
            <sz val="9"/>
            <color indexed="81"/>
            <rFont val="Tahoma"/>
            <family val="2"/>
          </rPr>
          <t xml:space="preserve">Wat er is blijft draaien. En alles wat er bij komt zit in in kolom rechts bij toename. Subsidie hiervoor kan worden gekozen bij Uitgangspunten.
</t>
        </r>
      </text>
    </comment>
    <comment ref="E19" authorId="0">
      <text>
        <r>
          <rPr>
            <sz val="9"/>
            <color indexed="81"/>
            <rFont val="Tahoma"/>
            <family val="2"/>
          </rPr>
          <t xml:space="preserve">Wat er is blijft draaien. En alles wat er bij komt zit in in kolom rechts bij toename. Subsidie hiervoor kan worden gekozen bij Uitgangspunten.
</t>
        </r>
      </text>
    </comment>
    <comment ref="E20" authorId="0">
      <text>
        <r>
          <rPr>
            <sz val="9"/>
            <color indexed="81"/>
            <rFont val="Tahoma"/>
            <family val="2"/>
          </rPr>
          <t xml:space="preserve">Wat er is blijft draaien. En alles wat er bij komt zit in in kolom rechts bij toename. Subsidie hiervoor kan worden gekozen bij Uitgangspunten.
</t>
        </r>
      </text>
    </comment>
    <comment ref="E21" authorId="0">
      <text>
        <r>
          <rPr>
            <sz val="9"/>
            <color indexed="81"/>
            <rFont val="Tahoma"/>
            <family val="2"/>
          </rPr>
          <t xml:space="preserve">0
Geen autonoom deel. Bijstook gebeurt alleen zolang er subsidie voor is.
</t>
        </r>
      </text>
    </comment>
    <comment ref="E22" authorId="0">
      <text>
        <r>
          <rPr>
            <sz val="9"/>
            <color indexed="81"/>
            <rFont val="Tahoma"/>
            <family val="2"/>
          </rPr>
          <t xml:space="preserve">0
Geen autonoom deel.
</t>
        </r>
      </text>
    </comment>
    <comment ref="E23" authorId="0">
      <text>
        <r>
          <rPr>
            <sz val="9"/>
            <color indexed="81"/>
            <rFont val="Tahoma"/>
            <family val="2"/>
          </rPr>
          <t>Ingevulde waarde bij 'Uitgangspunten'. Volledig autonoom.</t>
        </r>
      </text>
    </comment>
    <comment ref="E24" authorId="0">
      <text>
        <r>
          <rPr>
            <sz val="9"/>
            <color indexed="81"/>
            <rFont val="Tahoma"/>
            <family val="2"/>
          </rPr>
          <t xml:space="preserve">0
Geen autonome deel. 
</t>
        </r>
      </text>
    </comment>
  </commentList>
</comments>
</file>

<file path=xl/comments4.xml><?xml version="1.0" encoding="utf-8"?>
<comments xmlns="http://schemas.openxmlformats.org/spreadsheetml/2006/main">
  <authors>
    <author>Auteur</author>
  </authors>
  <commentList>
    <comment ref="E17" authorId="0">
      <text>
        <r>
          <rPr>
            <sz val="9"/>
            <color indexed="81"/>
            <rFont val="Tahoma"/>
            <family val="2"/>
          </rPr>
          <t>0,083 (=170,9/2047). 170,9 mln ton CO2 eq is de totale CO2 emissie in 2020 (NEV *20), 2047 PJ is het energiegebruik 2020 uit (NEV *20).
Het getal zegt iets over hoe schoon het totale energieopwek-park is.</t>
        </r>
      </text>
    </comment>
  </commentList>
</comments>
</file>

<file path=xl/sharedStrings.xml><?xml version="1.0" encoding="utf-8"?>
<sst xmlns="http://schemas.openxmlformats.org/spreadsheetml/2006/main" count="1813" uniqueCount="1273">
  <si>
    <t>Derving energiebelasting door eigen opwekking</t>
  </si>
  <si>
    <t>Pijler 1. Energiebesparing in de gebouwde omgeving en industrie</t>
  </si>
  <si>
    <t>Pijler 4. Het energietransportnetwerk gereed maken voor inpassing van hernieuwbare energieopwekking</t>
  </si>
  <si>
    <t>Pijler 6. Sluiten kolencentrales en visieontwikkeling voor CCS</t>
  </si>
  <si>
    <t>(*3) www.rijksoverheid.nl</t>
  </si>
  <si>
    <t>Subsidie op Green Deal Offshore Wind tussen overheid en NWEA (Nederlandse Wind Energie Associatie) voor de bouw van een proeftuin op zee.</t>
  </si>
  <si>
    <t>(*4) Innovatiecontract Wind, o.a. mmv Roland Berger consultants</t>
  </si>
  <si>
    <t>EWOZ subsidie; bouw van twee prototypes (hoort bij FLOW) (*4)</t>
  </si>
  <si>
    <t>TOTAAL</t>
  </si>
  <si>
    <t>SDE looptijd:</t>
  </si>
  <si>
    <t xml:space="preserve">Energiebesparing industrie: oprichting expertisecentrum </t>
  </si>
  <si>
    <t>MW</t>
  </si>
  <si>
    <t>Alleen Wind op Zee</t>
  </si>
  <si>
    <t>MW cumm in SDE+</t>
  </si>
  <si>
    <t xml:space="preserve">jr </t>
  </si>
  <si>
    <t>Alleen Wind op land</t>
  </si>
  <si>
    <t>Totaal</t>
  </si>
  <si>
    <t>Waterkracht</t>
  </si>
  <si>
    <t>(*4)</t>
  </si>
  <si>
    <t>MW waarvoor nog SDE wordt uitgekeerd over 15 jaar</t>
  </si>
  <si>
    <t>MW gebouwd waarvoor nog SDE wordt uitgekeerd over 15 jaar</t>
  </si>
  <si>
    <t>(*5)</t>
  </si>
  <si>
    <t>BRON, TOELICHTING</t>
  </si>
  <si>
    <t>(*8) http://www.energytracker.nl/nl/http-www-energeia-nl-news-php-id-53834</t>
  </si>
  <si>
    <t>(*9) http://www.petrochem.nl/tennet-investeert-5-5-miljard-in-mega.83353.lynkx</t>
  </si>
  <si>
    <t>Sociale partners op decentraal niveau zorgen dat er passende maatregelen (werk-naar-werk-trajecten, sociale plannen en dergelijke) worden getroffen voor medewerkers die als gevolg van de sluiting van kolencentrales hun baan verliezen.</t>
  </si>
  <si>
    <t>BRON</t>
  </si>
  <si>
    <t>Pijler 2. Opwekking hernieuwbare energie opschalen</t>
  </si>
  <si>
    <t>Pijler 8. Werkgelegenheid en scholing - Arbeidsmarktprogramma's</t>
  </si>
  <si>
    <t xml:space="preserve">Pijler 9. Stimuleren commercialisering voor groei en export. </t>
  </si>
  <si>
    <t>(*1)</t>
  </si>
  <si>
    <t>Budget EIA</t>
  </si>
  <si>
    <t>EIA  gerealiseerd</t>
  </si>
  <si>
    <t>(*10)</t>
  </si>
  <si>
    <t>Uitgangspunten voor de berekening</t>
  </si>
  <si>
    <t>Geen gekwantificeerde doelstellingen in EA</t>
  </si>
  <si>
    <t>Invoeren ‘EPK-systeem’ (Energie Prestatie Keuring) voor bedrijven. Oa adhv maatregelenlijst.</t>
  </si>
  <si>
    <t>- Opstarten financieringsprogramma met VNG en pensioenfondsen en opstarten activiteiten tbv groei en export</t>
  </si>
  <si>
    <t>-  Lobby in Brussel. Door aanscherpen emissieplafonds, internationaal concurrerende bedrijven 100% gratis rechten te geven op basis van best performance in de sector.</t>
  </si>
  <si>
    <t>- Postcoderoos: Per 1 januari 2014 wordt een belastingkorting van 7,5 ct/kWh ingevoerd voor hernieuwbare energie die in coöperatief verband of door een vereniging van eigenaren (VvE) wordt opgewekt en gebruikt door kleinverbruikers en waarbij de leden van de coöperaties/VvE’s en de installatie(s) zich in een  zogenaamde ‘postcoderoos’ (viercijferige postcode plus aangrenzende postcodes) bevinden</t>
  </si>
  <si>
    <t>nog vaststellen</t>
  </si>
  <si>
    <t>Geothermie</t>
  </si>
  <si>
    <t>- Garantieregeling</t>
  </si>
  <si>
    <t>(*1, par 4.4)</t>
  </si>
  <si>
    <t>(*14) Beantwoording vragen over grootschalige uit
rol slimme meter, brief aan Tweede kamer, april 2014 vanuit DG energie</t>
  </si>
  <si>
    <t>Het Rijk reserveert in deze kabinetsperiode circa 70 mln om diverse ondersteunende maatregelen te financieren, zoals de overeenkomst voor het faciliteren van gemeenten bij lokale en regionale energiebesparing en -opwekking, het verstrekken van het indicatief energielabel, het expertisecentrum voor energiebesparing (Banken en Overheid), betere handhaving van de Wet milieubeheer, de EPK-pilot, het opstarten van het financieringsprogramma en de activiteiten ter bevordering van energie-innovatie en -export</t>
  </si>
  <si>
    <t>subtotaal 2014-2020</t>
  </si>
  <si>
    <t>subtotaal 2021-2035</t>
  </si>
  <si>
    <t>(*1) p 20, p95 Max 78 mln per jaar tot 2020.</t>
  </si>
  <si>
    <t>mln</t>
  </si>
  <si>
    <t>1. Visie-ontwikkeling op Brandstoffenmix</t>
  </si>
  <si>
    <t>3. Onderzoeken betalen naar gebruik</t>
  </si>
  <si>
    <t>4. Klimaatdoelen in lokaal ruimtelijk beleid</t>
  </si>
  <si>
    <t>5. Europese CO2 -normen en-beleid worden vastgesteld c.q. aangescherpt.</t>
  </si>
  <si>
    <t>6. Uiterlijk in 2014 komt er een publiek/privaat-programma dat het kader biedt om businesscases en producten te ontwikkelen voor de transitie naar duurzame mobiliteit. Daarnaast worden energiebesparende technologieën versneld geïmplementeerd</t>
  </si>
  <si>
    <t>9. Stimuleren reizen buiten de spits. Via initiatieven van grote bedrijven.</t>
  </si>
  <si>
    <t>10. Verduurzamen vervoersconcessies. Fietsen stimuleren.</t>
  </si>
  <si>
    <t>11. Meten, plannen, normering</t>
  </si>
  <si>
    <t>12. Publieke laadinfra voor elektrische voertuigen</t>
  </si>
  <si>
    <t>(*15) http://www.rvo.nl/onderwerpen/duurzaam-ondernemen/energie-en-milieu-innovaties/elektrisch-rijden/stand-van-zaken/cijfers</t>
  </si>
  <si>
    <t xml:space="preserve">2. Vanaf 2035 alle nieuw verkochte personenauto’s in staat om CO2-emissievrij te rijden; in 2050 geldt dit voor alle personenauto’s. </t>
  </si>
  <si>
    <t>7. Het privaat-publieke project elektrisch rijden wordt voortgezet; de opstart van nieuwe (proef)projecten wordt mogelijk gemaakt en er komt uiterlijk in 2013 een afspraak over de uitrol van publieke  laadinfrastructuur. Daarnaast komt er onderzoek naar andere marktkansen, onder andere op het gebied van biogas en LNG in de binnenvaart</t>
  </si>
  <si>
    <t>5k per laadpaal subsidie, Aanname dat er 1000 per jaar bijkomen</t>
  </si>
  <si>
    <t>Communicatie richting consument over mogelijkheden energiebeparing voor verbouwing en vervanging oude apparaten ism retail, via uitrol Slimme meter. Financiering evt via energieleveranciers en afbetaling via energierekening.</t>
  </si>
  <si>
    <t>(*1, p42)</t>
  </si>
  <si>
    <t>Restwarmte: Plan van regionale aanpak wordt opgesteld. Via VNG, gemeenten en waterschappen</t>
  </si>
  <si>
    <t>(1*, p42)</t>
  </si>
  <si>
    <t xml:space="preserve">Alle woningen krijgen een energielabel. </t>
  </si>
  <si>
    <t>Aanbod van bouwbedrijven richting consument. Via VNG. Met facilitators.</t>
  </si>
  <si>
    <t>Energieprestatiegarantieregeling voor particulieren</t>
  </si>
  <si>
    <t>Stroomversnelling programma, 111.000 woningen e-neutraal</t>
  </si>
  <si>
    <t>Zuinige straatverlichting</t>
  </si>
  <si>
    <t>CO2 emissiehandel, specifiek voor de glastuinbouw</t>
  </si>
  <si>
    <t>Doorstart Kas als Energiebron, MEI en ERE regeling (ipv Productschap Tuinbouw die dit geld uitgaf), Versnellingspakket Geothermie en Het Nieuwe Telen  --&gt; Via TKI Tuinbouw en Uitgangsmaterialen</t>
  </si>
  <si>
    <t>Business case 2020 deltaplan Havenbedrijf Rotterdam</t>
  </si>
  <si>
    <t>Overige actiepunten(bovenstaande lijst is nietuitputtend. Er worden meer van dergelijke maatregelen aangekondigd)</t>
  </si>
  <si>
    <t>Handhaving beter bij industrie en gebouwen o.a. wet Milieubeheer. O.a. adhv maatregelenlijst.</t>
  </si>
  <si>
    <t>Garantie Ondernemingsfinanciering (GO) Overheid geeft in 2012-2014 ca 2 mljrd aan garanties uit voor bedrijven die investeren</t>
  </si>
  <si>
    <t>(*16, p86)</t>
  </si>
  <si>
    <t>Ontwikkeling CCS (periode 2013-2019 )</t>
  </si>
  <si>
    <t>http://www.rijksoverheid.nl/documenten-en-publicaties/begrotingen/2014/09/16/xiii-economische-zaken-rijksbegroting-2015.html</t>
  </si>
  <si>
    <t>(*11) Stroomversnelling.net</t>
  </si>
  <si>
    <t>per auto</t>
  </si>
  <si>
    <t xml:space="preserve">8. Fiscale stimulering van ultrazuinige voertuigen.  </t>
  </si>
  <si>
    <t>(*16, tabel p86)</t>
  </si>
  <si>
    <t>MEP</t>
  </si>
  <si>
    <t xml:space="preserve">(*16) Miljoenenota EZ 2014; </t>
  </si>
  <si>
    <t>Uitbreiding elektriciteitsnet</t>
  </si>
  <si>
    <t>Pijler</t>
  </si>
  <si>
    <t>Onderdeel</t>
  </si>
  <si>
    <t>Subregeling</t>
  </si>
  <si>
    <t>Energiebesparing</t>
  </si>
  <si>
    <t>private woningen</t>
  </si>
  <si>
    <t>isolatie e.d.</t>
  </si>
  <si>
    <t>communicatie</t>
  </si>
  <si>
    <t>huurwoningen</t>
  </si>
  <si>
    <t>stroomverstelling</t>
  </si>
  <si>
    <t>energielabel</t>
  </si>
  <si>
    <t>garantieregeling</t>
  </si>
  <si>
    <t>publieke ruimte</t>
  </si>
  <si>
    <t>zuinige straatverlichting</t>
  </si>
  <si>
    <t>gebouwen</t>
  </si>
  <si>
    <t>handhaving</t>
  </si>
  <si>
    <t>industrie</t>
  </si>
  <si>
    <t>EPK systeem</t>
  </si>
  <si>
    <t>expertisecentrum</t>
  </si>
  <si>
    <t>restwarmteplannen</t>
  </si>
  <si>
    <t>glastuinbouw</t>
  </si>
  <si>
    <t>herstart kas als energiebron</t>
  </si>
  <si>
    <t>herstart MEI en ERE regeling</t>
  </si>
  <si>
    <t>versnelling geothermie</t>
  </si>
  <si>
    <t>2.</t>
  </si>
  <si>
    <t>Hernieuwbare opwekking</t>
  </si>
  <si>
    <t>wind op zee</t>
  </si>
  <si>
    <t>zie onder</t>
  </si>
  <si>
    <t>wind op land</t>
  </si>
  <si>
    <t>waterkracht</t>
  </si>
  <si>
    <t>geothermie</t>
  </si>
  <si>
    <t>3.</t>
  </si>
  <si>
    <t>Stimuleren decentrale duurzame energie</t>
  </si>
  <si>
    <t>4.</t>
  </si>
  <si>
    <t>stopcontact + trafo op zee</t>
  </si>
  <si>
    <t>5.</t>
  </si>
  <si>
    <t>Lobby in Brussel</t>
  </si>
  <si>
    <t>emissiehandel</t>
  </si>
  <si>
    <t>6.</t>
  </si>
  <si>
    <t>Kolencentrales</t>
  </si>
  <si>
    <t>CCS</t>
  </si>
  <si>
    <t>7.</t>
  </si>
  <si>
    <t>Duurzame mobiliteit</t>
  </si>
  <si>
    <t>elektrische auto's</t>
  </si>
  <si>
    <t>laadinfra</t>
  </si>
  <si>
    <t>biobrandstof</t>
  </si>
  <si>
    <t>8.</t>
  </si>
  <si>
    <t>werkgelegenheid</t>
  </si>
  <si>
    <t>arbeidsmarktprogramma's</t>
  </si>
  <si>
    <t>9.</t>
  </si>
  <si>
    <t>Opstellen energieakkoord zelf</t>
  </si>
  <si>
    <t>(*mln €)</t>
  </si>
  <si>
    <t>Toelichting</t>
  </si>
  <si>
    <t xml:space="preserve">Loopt de regeling door na 2020? </t>
  </si>
  <si>
    <t>check</t>
  </si>
  <si>
    <t>inclusief in bovenstaand getal</t>
  </si>
  <si>
    <t>extra banen tgv EnergieAkkoord</t>
  </si>
  <si>
    <t>aanscherpen regelgeving</t>
  </si>
  <si>
    <t>alle transport</t>
  </si>
  <si>
    <t xml:space="preserve">(*16, p86) </t>
  </si>
  <si>
    <t>regeling na 2014 toekomst nog niet vast</t>
  </si>
  <si>
    <t>herstart het nieuwe telen prog.</t>
  </si>
  <si>
    <t>Bron: Energietrends 2014 (*17)</t>
  </si>
  <si>
    <t>SDE bijdrage (basisbedrag-correctiebedrag)</t>
  </si>
  <si>
    <t>(*17) Energietrends 2014, uitgave van ECN</t>
  </si>
  <si>
    <t>INLEIDING</t>
  </si>
  <si>
    <t>REFERENTIES</t>
  </si>
  <si>
    <t>per hh per jaar in 2020</t>
  </si>
  <si>
    <t>reductie tov Regeerakkoord 2012</t>
  </si>
  <si>
    <t>extra tov Miljoenennota 2012</t>
  </si>
  <si>
    <t>per kWh</t>
  </si>
  <si>
    <t>DISCLAIMER</t>
  </si>
  <si>
    <t>Gemiddeld elektra verbruik per huishouden</t>
  </si>
  <si>
    <t>Aantal huishoudens in Nederland</t>
  </si>
  <si>
    <t>UW UITGANGSPUNTEN</t>
  </si>
  <si>
    <t>Cijfers uit deze brief zijn (in mln Euro):</t>
  </si>
  <si>
    <t>INHOUDSOPGAVE</t>
  </si>
  <si>
    <t>- Referenties</t>
  </si>
  <si>
    <t>- Vervoer</t>
  </si>
  <si>
    <t>- Innovatiesubsidies</t>
  </si>
  <si>
    <t>Tabbladen (door op de hyperlink te clicken komt u direct op de juiste pagina)</t>
  </si>
  <si>
    <t>NB: SDE+ mag niet in combinatie met EIA</t>
  </si>
  <si>
    <t>Wat staat er in het tabblad</t>
  </si>
  <si>
    <t>kWh per jaar</t>
  </si>
  <si>
    <t>Zon-PV</t>
  </si>
  <si>
    <t>Zonthermie</t>
  </si>
  <si>
    <t>(*18) http://verantwoordingsonderzoek.rekenkamer.nl/2013/fin/beleidsinformatie/hoge-belastinguitgaven-voor-tegenvallende-milieuwinst-zuinige-auto%E2%80%99s-5</t>
  </si>
  <si>
    <t>(Bron *18)</t>
  </si>
  <si>
    <t xml:space="preserve">(*1) Doel is 17% CO2-emissiereductie in 2030. In 2020 15 á 20 PJ tov referentieramingen ECN/PBL 2012. </t>
  </si>
  <si>
    <t>Opgenomen onder punt 7, 8 en 12 hier onder. Onduidelijk wat het nog meer inhoudt.</t>
  </si>
  <si>
    <t>PJ</t>
  </si>
  <si>
    <t>(*19) Brief Min Kamp aan Voorzitter van de Tweede Kamer d.d. 23 januari 2015. Betreft Bij- en meestook van biomassa in kolencentrales</t>
  </si>
  <si>
    <t>2012: 3495 kWh per huishouden gemiddeld</t>
  </si>
  <si>
    <t xml:space="preserve">Onderstaand het resultaat van een eerdere analyse van de rekenkamer. Hier zitten ook alle fiscale voordelen bij van zuinige auto's in het algemeen. </t>
  </si>
  <si>
    <t>Aannames (invoeren in 'Inleiding' tabblad)</t>
  </si>
  <si>
    <t>mlrjd kWh productie in SDE +</t>
  </si>
  <si>
    <t>mljrd kWh productie in SDE +</t>
  </si>
  <si>
    <t>per GJ</t>
  </si>
  <si>
    <t xml:space="preserve">(*21) http://www.compendiumvoordeleefomgeving.nl/indicatoren/nl0359-Belastingen-op-een-milieugrondslag.html?i=10-72  </t>
  </si>
  <si>
    <t>mln per jaar</t>
  </si>
  <si>
    <t>over levensduur</t>
  </si>
  <si>
    <t>ALGEMENE UITGANGSPUNTEN</t>
  </si>
  <si>
    <t>(*22) CBS http://www.cbs.nl/nl-NL/menu/themas/natuur-milieu/publicaties/artikelen/archief/2013/2013-3889-wm.htm</t>
  </si>
  <si>
    <t>Algemene cijfers</t>
  </si>
  <si>
    <t>OVERIG</t>
  </si>
  <si>
    <t>(*23) P. Boot (PBL)"Elektriciteitsmarkt en infrastructuur bij sterke toename van hernieuwbare energie". Essay voor Bezinningsgroep Energie Essaybundel ter gelegenheid van het 40- jarig jubileum</t>
  </si>
  <si>
    <t xml:space="preserve">(*24) http://reflector.nl/verplicht-om-biobrandstof-bij-te-mengen/ </t>
  </si>
  <si>
    <t>(*24). Zie ook tabblad Vervoer</t>
  </si>
  <si>
    <t>NB: Ministerie I&amp;M heeft een begroting van in totaal 250 mln voor Kimaat, Duurzaamheid en Schone Lucht. Hier zit bijv 800.000 Euro in aan subsidie voor alternatieve tankstations. Infrastructuurfonds gaat naar spoorwegen ed.</t>
  </si>
  <si>
    <t>(*25) http://www.compendiumvoordeleefomgeving.nl/indicatoren/nl0054-Energieverbruik-per-energiedrager.html?i=6-40</t>
  </si>
  <si>
    <t>subtotaal 2013-2020</t>
  </si>
  <si>
    <t>Waarvan overige subsidies (2013-2020)</t>
  </si>
  <si>
    <t>Wind op Zee</t>
  </si>
  <si>
    <t>Wind op Land</t>
  </si>
  <si>
    <t>Biomassa tbv transportbrandstof</t>
  </si>
  <si>
    <t>Hernieuwbare energiebron</t>
  </si>
  <si>
    <t>Referentie</t>
  </si>
  <si>
    <t xml:space="preserve">UITGAVEN AAN ENERGIE ZOALS GEPUBLICEERD DOOR REGERING </t>
  </si>
  <si>
    <t>(*26) http://www.cbs.nl/NR/rdonlyres/7AC2E304-E006-4C93-AB7C-3965AFE534DF/0/2014rendementco2emissieselektriciteit2012.pdf</t>
  </si>
  <si>
    <t xml:space="preserve">- Resultaatmatrix </t>
  </si>
  <si>
    <t>De grote getallen</t>
  </si>
  <si>
    <t>Bestaand aandeel (2013)  (zie ook *20)</t>
  </si>
  <si>
    <t>(*27) Algemene Rekenkamer, "Stimulering van duurzame energieproductie (SDE+) - Haalbaarheid en betaalbaarheid van de beleidsdoelen"2015</t>
  </si>
  <si>
    <t>SDE+ (2011 - 2013)</t>
  </si>
  <si>
    <t>(*28) Algemene Rekenkamer, "Modelberekening ECN - Achtergronddocument bij het rapport ‘Stimulering duurzame
energieproductie (SDE+); Haalbaarheid en betaalbaarheid van
beleidsdoelen’ (2015)" 16 april 2015</t>
  </si>
  <si>
    <t xml:space="preserve">Groei tot aan: </t>
  </si>
  <si>
    <t>Doelstelling, groei voor 2020 tot</t>
  </si>
  <si>
    <t>MW (per 2023)</t>
  </si>
  <si>
    <t>TRANSPORT BIOMASSA - BIJMENGING BIOBRANDSTOFFEN</t>
  </si>
  <si>
    <t>Opgeteld t/m 2014:</t>
  </si>
  <si>
    <t>Wind op zee</t>
  </si>
  <si>
    <t>Wind op land</t>
  </si>
  <si>
    <t xml:space="preserve">In totaal komt dat op </t>
  </si>
  <si>
    <t xml:space="preserve">- kWh zelf opgewekt en verbruikt per jaar x energiebelasting. </t>
  </si>
  <si>
    <t>Ondiepe bodemenergie en buitenluchtwarmte</t>
  </si>
  <si>
    <t>Scenario aanname</t>
  </si>
  <si>
    <t>toelichting</t>
  </si>
  <si>
    <t>PV (PJ)</t>
  </si>
  <si>
    <t>lineaire groei</t>
  </si>
  <si>
    <t>Windop Zee</t>
  </si>
  <si>
    <t>Zon-thermie</t>
  </si>
  <si>
    <t>Ondiepe geothermie en buitenluchtwarmte</t>
  </si>
  <si>
    <t>wko, wp</t>
  </si>
  <si>
    <t>Zon-Thermie</t>
  </si>
  <si>
    <t>Valt onder algemene Garantieregeling (GO) Zie pijler 1.</t>
  </si>
  <si>
    <t>Biomassa (exclusief transport)</t>
  </si>
  <si>
    <t>- SDE+ of andere Subsidie vanaf 2013 -  nieuw toe te kennen en uit te geven</t>
  </si>
  <si>
    <t>INVULSUGGESTIES</t>
  </si>
  <si>
    <t>Zon-thermisch</t>
  </si>
  <si>
    <t xml:space="preserve">WATERKRACHT </t>
  </si>
  <si>
    <t>idem</t>
  </si>
  <si>
    <t>al uitgegeven</t>
  </si>
  <si>
    <t>Verplichtingen aan te gaan SDE+ 2014-2023</t>
  </si>
  <si>
    <t>Totaal belasting-derving per jaar (*mln €)</t>
  </si>
  <si>
    <t>garantieregeling (GO) - voor geothermie</t>
  </si>
  <si>
    <t>subtotaal 2003-2020</t>
  </si>
  <si>
    <t>Totaal  (*mln €)</t>
  </si>
  <si>
    <t>subtotaal 2008-2012</t>
  </si>
  <si>
    <t>mln per jaar gemiddeld (Zie uitsplitsing hier rechts)</t>
  </si>
  <si>
    <t>Deel grootschalig PV dat gaat vallen onder SDE+</t>
  </si>
  <si>
    <t>NB: Geen misgelopen energiebelasting bij grootschalig PV. De grote installaties verkopen het als groene stroom aan particulieren die evengoed e-belasting betalen</t>
  </si>
  <si>
    <t xml:space="preserve">MW </t>
  </si>
  <si>
    <t>NB: Aanname is dat alle bestaande PV vrijstelling heeft van energiebelasting</t>
  </si>
  <si>
    <t>Aanname dat het in de periode 2020-2035 gelijk blijft qua belastingvrijstelling</t>
  </si>
  <si>
    <t>- PV</t>
  </si>
  <si>
    <t>- Biomassa</t>
  </si>
  <si>
    <t>Zie tabblad PV</t>
  </si>
  <si>
    <t>Zie tabblad  PV</t>
  </si>
  <si>
    <t xml:space="preserve">mln </t>
  </si>
  <si>
    <t>- Wind</t>
  </si>
  <si>
    <t>- Resultaatgrafiek</t>
  </si>
  <si>
    <t>PV</t>
  </si>
  <si>
    <t>Geen energiebelasting (inc postcoderoos)</t>
  </si>
  <si>
    <t>Volgens (*1) p 20, p95 maximaal € 78 miljoen per jaar voor compensatie over de periode 2013 tot en met 2020.</t>
  </si>
  <si>
    <t>MJ/ltr</t>
  </si>
  <si>
    <t>Dit scenario is overgenomen in onderstaande tabel.</t>
  </si>
  <si>
    <t xml:space="preserve">Tanken duurdere biobrandstoffen. </t>
  </si>
  <si>
    <t>mln bedrijven</t>
  </si>
  <si>
    <t>STIMULEREN SCHOON VERVOER</t>
  </si>
  <si>
    <t xml:space="preserve">ZON-thermie </t>
  </si>
  <si>
    <t>Minder energie-belasting 2003 - 2035</t>
  </si>
  <si>
    <t>Zon-PV (Grootschalig, binnen SDE)</t>
  </si>
  <si>
    <t xml:space="preserve">Pijler 5. Emissiehandel beter laten functioneren </t>
  </si>
  <si>
    <t xml:space="preserve">Pijler 7. 'Groene Groei'agenda met 12 maatregelen voor duurzame mobiliteit en transport. </t>
  </si>
  <si>
    <r>
      <rPr>
        <sz val="11"/>
        <rFont val="Calibri"/>
        <family val="2"/>
      </rPr>
      <t>€</t>
    </r>
    <r>
      <rPr>
        <sz val="11"/>
        <rFont val="Calibri"/>
        <family val="2"/>
        <scheme val="minor"/>
      </rPr>
      <t>/kWh</t>
    </r>
  </si>
  <si>
    <r>
      <t xml:space="preserve">MEP en SDE+ in mln </t>
    </r>
    <r>
      <rPr>
        <b/>
        <sz val="11"/>
        <rFont val="Calibri"/>
        <family val="2"/>
      </rPr>
      <t>€</t>
    </r>
    <r>
      <rPr>
        <b/>
        <sz val="11"/>
        <rFont val="Calibri"/>
        <family val="2"/>
        <scheme val="minor"/>
      </rPr>
      <t>/jaar</t>
    </r>
  </si>
  <si>
    <r>
      <rPr>
        <sz val="11"/>
        <rFont val="Calibri"/>
        <family val="2"/>
      </rPr>
      <t>€</t>
    </r>
    <r>
      <rPr>
        <sz val="11"/>
        <rFont val="Calibri"/>
        <family val="2"/>
        <scheme val="minor"/>
      </rPr>
      <t xml:space="preserve">/kWh </t>
    </r>
  </si>
  <si>
    <r>
      <t xml:space="preserve">SDE+ in mln </t>
    </r>
    <r>
      <rPr>
        <b/>
        <sz val="11"/>
        <rFont val="Calibri"/>
        <family val="2"/>
      </rPr>
      <t>€</t>
    </r>
    <r>
      <rPr>
        <b/>
        <sz val="11"/>
        <rFont val="Calibri"/>
        <family val="2"/>
        <scheme val="minor"/>
      </rPr>
      <t>/jaar</t>
    </r>
  </si>
  <si>
    <r>
      <rPr>
        <sz val="11"/>
        <rFont val="Calibri"/>
        <family val="2"/>
      </rPr>
      <t>€/</t>
    </r>
    <r>
      <rPr>
        <sz val="11"/>
        <rFont val="Calibri"/>
        <family val="2"/>
        <scheme val="minor"/>
      </rPr>
      <t>kWh</t>
    </r>
  </si>
  <si>
    <r>
      <t xml:space="preserve">Misgelopen energiebelasting overheid (*mln </t>
    </r>
    <r>
      <rPr>
        <sz val="11"/>
        <rFont val="Calibri"/>
        <family val="2"/>
      </rPr>
      <t>€</t>
    </r>
    <r>
      <rPr>
        <sz val="11"/>
        <rFont val="Calibri"/>
        <family val="2"/>
        <scheme val="minor"/>
      </rPr>
      <t>)</t>
    </r>
  </si>
  <si>
    <r>
      <rPr>
        <sz val="11"/>
        <rFont val="Calibri"/>
        <family val="2"/>
      </rPr>
      <t>€/kWh</t>
    </r>
  </si>
  <si>
    <r>
      <rPr>
        <u/>
        <sz val="11"/>
        <rFont val="Calibri"/>
        <family val="2"/>
        <scheme val="minor"/>
      </rPr>
      <t>Scenario: Toename</t>
    </r>
    <r>
      <rPr>
        <sz val="11"/>
        <rFont val="Calibri"/>
        <family val="2"/>
        <scheme val="minor"/>
      </rPr>
      <t xml:space="preserve"> aantal auto's dat emissievrij kan rijden</t>
    </r>
  </si>
  <si>
    <t>- Er worden in het EnergieAkkoord meer doelstellingen genoemd zoals de groei van WKO installaties, geothermie etc. Hier zijn geen aparte financiele middelen voor bekend gemaakt. Voor de financiële middelen in de vorm van SDE+ hiervoor kan de gebruiker van deze excelsheet een bedrag aannemen.</t>
  </si>
  <si>
    <t>RESULTAAT VERGELIJK MET UITKOMST RAPPORT ALGEMENE REKENKAMER</t>
  </si>
  <si>
    <t>Volgens Algemene Rekenkamer, Nationale Energieverkenning/ECN groei tot 5000MW (*28, p4+p18 "Technisch is er bijvoorbeeld meer productie van windenergie op land haalbaar, maar daar speelt het maatschappelijk draagvlak een grote rol."</t>
  </si>
  <si>
    <t>Rekenkamer gaat uit van NEV Scenario 0 waarbij maar tot 940+2372=3312MW wordt bijgebouwd. Zie (*28, p 18, "In het referentiescenario wordt de afgesproken uitrol (3450 MW) niet gehaald,omdat de beoogde capaciteit aan windparken niet verenigbaar was met de afspraak van het maximum van € 0,15 per kWh. Een aantal windparken blijkt nog te duur en valt in het model af. Niet alle tenders worden dus volledig benut. In totaal wordt er in het referentiescenario 2372 MW windenergie op zee gerealiseerd.")</t>
  </si>
  <si>
    <t>NB: Het aantal huishoudens op 1 januari 2013 bedroeg 7,57 miljoen. Ref:  http://www.compendiumvoordeleefomgeving.nl/indicatoren/nl0001-Bevolkingsomvang-en-huishoudens.html?i=15-12</t>
  </si>
  <si>
    <t>Gemiste accijns door electrisch rijden niet meegenomen. Het bedrag is relatief laag en het kan zijn dat er een andere vorm van accijns voor terug komt.</t>
  </si>
  <si>
    <t>(*16) "... in nauwe samenwerking
met de marktpartijen, maatschappelijke organisaties en kennisinstituten is toegewerkt naar een traject om individuele duurzame brandstofsporen
(elektrisch, waterstof, gasvormig en vloeibaar) met elkaar te verbinden en te bezien waar die sporen elkaar aanvullen of juist beconcurreren. "</t>
  </si>
  <si>
    <t>Vergelijk met uitkomst analyse Algemene Rekenkamer</t>
  </si>
  <si>
    <t>In de SDE/MEP/SDE+ rapportages die jaarlijks worden uitgegeven staat hoeveel er is toegezegd in de periode 2006-2013 (*7)</t>
  </si>
  <si>
    <t>Totale uitgaven 2003-2020 gemiddeld per jaar</t>
  </si>
  <si>
    <t>gemiddeld per jaar</t>
  </si>
  <si>
    <t>aandeel in duurzame doelstelling</t>
  </si>
  <si>
    <t>GRAFIEK</t>
  </si>
  <si>
    <t xml:space="preserve">TOTAAL </t>
  </si>
  <si>
    <t>2. Hernieuwbare energie</t>
  </si>
  <si>
    <t>2. Hernieuwbare energie + Pijler 3. decentrale opwek</t>
  </si>
  <si>
    <t>4. Energienetwerk uitbreiden</t>
  </si>
  <si>
    <t>7. Duurzame mobiliteit</t>
  </si>
  <si>
    <t>1. Energiebesparing gebouwde omg en industrie</t>
  </si>
  <si>
    <t>5. Emissiehandel stimuleren en 6. CCS en 9.Stimuleren commercialisering</t>
  </si>
  <si>
    <t>Zon-PV - groot</t>
  </si>
  <si>
    <t>Zon-PV - klein</t>
  </si>
  <si>
    <t>kg/ltr</t>
  </si>
  <si>
    <t>Benzine</t>
  </si>
  <si>
    <t>ton</t>
  </si>
  <si>
    <t>Diesel</t>
  </si>
  <si>
    <t>type</t>
  </si>
  <si>
    <t>Bioethanol</t>
  </si>
  <si>
    <t>WKO + warmtepompen</t>
  </si>
  <si>
    <t>mld ltr</t>
  </si>
  <si>
    <t>SAMENVATTING</t>
  </si>
  <si>
    <t>Totaal brandstof 2012</t>
  </si>
  <si>
    <r>
      <t xml:space="preserve">TABEL 1A
(*mln </t>
    </r>
    <r>
      <rPr>
        <b/>
        <sz val="14"/>
        <color rgb="FF0000FF"/>
        <rFont val="Calibri"/>
        <family val="2"/>
      </rPr>
      <t>€ )</t>
    </r>
  </si>
  <si>
    <t>(*1) Energieakkoord voor duurzame groei, sept 2013</t>
  </si>
  <si>
    <t>Aardgas  (HHV)</t>
  </si>
  <si>
    <t>MJ/m3</t>
  </si>
  <si>
    <t xml:space="preserve">PJ </t>
  </si>
  <si>
    <t>Geen doelstelling genoemd in EA. Algemene rekenkamer rekent met groei tot 1,6PJ op jaarbasis tot 2020. Anno 2013 is het al 1,1PJ.</t>
  </si>
  <si>
    <t>GEOTHERMIE (DIEPTE &gt;500m )</t>
  </si>
  <si>
    <t>Doelstelling, per 2020</t>
  </si>
  <si>
    <t>Groei in 2020 naar</t>
  </si>
  <si>
    <t>PJ gebouwd waarvoor nog SDE wordt uitgekeerd over 15 jaar</t>
  </si>
  <si>
    <t>Gesteld doel toename</t>
  </si>
  <si>
    <t>per PJ</t>
  </si>
  <si>
    <t>Alleen Zonthermisch</t>
  </si>
  <si>
    <t>daarna onder 15 jaar SDE+</t>
  </si>
  <si>
    <t>- SDE+  Subsidie vanaf 2013 -  nieuw toe te kennen en uit te geven in periode 2014-2035.</t>
  </si>
  <si>
    <t>ZONTHERMIE</t>
  </si>
  <si>
    <t>GEOTHERMIE (diepte &gt;500m)</t>
  </si>
  <si>
    <t>Alleen Geothermie</t>
  </si>
  <si>
    <t xml:space="preserve">- SDE+  Subsidie vanaf 2013 -  nieuw toe te kennen en uit te geven in periode 2014-2035. </t>
  </si>
  <si>
    <t>Zie  tabblad 'Warmte'</t>
  </si>
  <si>
    <t>zon-PV</t>
  </si>
  <si>
    <t>zonthermie</t>
  </si>
  <si>
    <t xml:space="preserve">ONDIEPE BODEMENERGIE (WKO) EN BUITENLUCHTWARMTE </t>
  </si>
  <si>
    <t xml:space="preserve">WIND OP ZEE </t>
  </si>
  <si>
    <t>WIND OP LAND</t>
  </si>
  <si>
    <t>Onbekend. Hoeveel steun aan wko systemen ed tm 2013?</t>
  </si>
  <si>
    <t>(PJ) nieuw</t>
  </si>
  <si>
    <t>Huidige hoeveelheid wko en wp waarvan SDE, MEP ed al toegekend</t>
  </si>
  <si>
    <t>Overig Biomassa</t>
  </si>
  <si>
    <t>SDE+ bijdrage (basisbedrag -/- correctiebedrag)</t>
  </si>
  <si>
    <t xml:space="preserve">SDE+ bijdrage </t>
  </si>
  <si>
    <t>Zie tabblad 'Biomassa'</t>
  </si>
  <si>
    <t>- Warmte</t>
  </si>
  <si>
    <t>INNOVATIESUBSIDIES</t>
  </si>
  <si>
    <t>Varieert volgens publicaties van regering van € 0,07 tot € 0,147. Het basisbedrag moet hoger zijn dan het onder ingevulde correctiebedrag. Standaard wordt gerekend met 1000 vollasturen.</t>
  </si>
  <si>
    <t xml:space="preserve">Doel is groei in 2020 tot aan: </t>
  </si>
  <si>
    <t>- % Hernieuwbaar</t>
  </si>
  <si>
    <t>Percentage duurzame energie in 2020 bereikt is --&gt;&gt;</t>
  </si>
  <si>
    <t>% HERNIEUWBARE ENERGIE BEREIKT</t>
  </si>
  <si>
    <t>(Met de gekozen uitgangspunten en aannames)</t>
  </si>
  <si>
    <t>Onderstaande tabellen bevatten een toelichting</t>
  </si>
  <si>
    <t>mljrd kWh productie werkelijk</t>
  </si>
  <si>
    <t>Vollasturen max subsidiabel</t>
  </si>
  <si>
    <t>Werkelijke vollasturen</t>
  </si>
  <si>
    <t>Huidige hoeveelheid geothermisch waarvan SDE, MEP ed al toegekend (2013)</t>
  </si>
  <si>
    <t>Inleiding, Inhoudsopgave, Disclaimer</t>
  </si>
  <si>
    <t>- Uitgangspunten</t>
  </si>
  <si>
    <t>Uitgangspunten die u zelf kunt invullen</t>
  </si>
  <si>
    <t>mln €</t>
  </si>
  <si>
    <r>
      <t xml:space="preserve">Aantal bedrijven in Nederland </t>
    </r>
    <r>
      <rPr>
        <b/>
        <i/>
        <sz val="12"/>
        <rFont val="Calibri"/>
        <family val="2"/>
        <scheme val="minor"/>
      </rPr>
      <t>met aparte energierekening</t>
    </r>
    <r>
      <rPr>
        <sz val="12"/>
        <rFont val="Calibri"/>
        <family val="2"/>
        <scheme val="minor"/>
      </rPr>
      <t xml:space="preserve"> (dwz ex zzp-ers, holdings ed, omdat die naar schatting geen aparte energierekening hebben)</t>
    </r>
  </si>
  <si>
    <r>
      <t xml:space="preserve">Totaal (*mln </t>
    </r>
    <r>
      <rPr>
        <sz val="11"/>
        <rFont val="Calibri"/>
        <family val="2"/>
      </rPr>
      <t>€)</t>
    </r>
  </si>
  <si>
    <t>-  Derving distributiekosten netbeheerders</t>
  </si>
  <si>
    <t>Financiëel verlies door vervroegde afschrijvingen op investeringen in fossiele centrales.</t>
  </si>
  <si>
    <t>- Verliezen investeringen in fossiele opwekinstalaties door versnelde afschrijvingen</t>
  </si>
  <si>
    <t>Zie bij uitgangspunten</t>
  </si>
  <si>
    <t>In 2010: 20 GW geinstalleerd vermogen, gem. 9 jaar oud 
Investering à €1000 per kW, ofwel 1000 x 20 mln = 20 mrd€
In 2010 al 50% afgeschreven, dus nog 10 mrd resterend. 
Veronderstel 25% hiervan als extra afschrijving tgv. EA, dus 2.5 mrd €</t>
  </si>
  <si>
    <t>*mln €</t>
  </si>
  <si>
    <t>%</t>
  </si>
  <si>
    <t>*mln €/PJ</t>
  </si>
  <si>
    <t>GWh</t>
  </si>
  <si>
    <t>tCO2/GWh</t>
  </si>
  <si>
    <t>OVERZICHTSTABEL PER CATEGORIE</t>
  </si>
  <si>
    <t>€/tCO2</t>
  </si>
  <si>
    <t>Zon thermisch</t>
  </si>
  <si>
    <t>(*12) http://www.solarmagazine.nl/nieuws-zonne-energie/klimaatmonitor-geinstalleerd-nederlands-pv-vermogen-eind-2013-665-megawatt.html</t>
  </si>
  <si>
    <t>(*13) http://www.nuon.nl/energieprijzen/overheidsheffingen.jsp</t>
  </si>
  <si>
    <t>Totaal
(*mln €)</t>
  </si>
  <si>
    <t>fiscale stimulering aanschaf + missen accijns 
tbv tanken electra</t>
  </si>
  <si>
    <t>compensatieregeling E-prijs</t>
  </si>
  <si>
    <t>Garantieregeling 
(kost overheid geld)</t>
  </si>
  <si>
    <t>PJ /jaar</t>
  </si>
  <si>
    <t>(*29) KEMA, "Integratie van windenergie in het Nederlandse elektriciteitsysteem in de context van de Noordwest Europese elektriciteitmarkt", september 2010</t>
  </si>
  <si>
    <t>afschrijving versneld fossiele capaciteit</t>
  </si>
  <si>
    <t>Inpassingskosten 
elektriciteitsnet doorbelast</t>
  </si>
  <si>
    <t>lager rendement  fossiele centrales tgv duurz energie</t>
  </si>
  <si>
    <t>e-net systeemkosten op land  tgv duurzame energie</t>
  </si>
  <si>
    <t>Zie bij uitgangspunten, Vermenigvuldigd met aantallen MWh gegenereerd met Wind volgens dit model. Zie bij tabblad 'Wind'</t>
  </si>
  <si>
    <t>PV (mljrd kWh) werkelijk</t>
  </si>
  <si>
    <t>Vermijding betaling transportkosten</t>
  </si>
  <si>
    <t>MATRIX</t>
  </si>
  <si>
    <t>(*30) http://co2emissiefactoren.nl/lijst-emissiefactoren/</t>
  </si>
  <si>
    <t>(*30)</t>
  </si>
  <si>
    <t>(*30) de 1e 1,5 jaar dat de turbine draait ben je wel de bouwenergie aan het terugwinnen</t>
  </si>
  <si>
    <t>(*30) de 1e 3,5 jaar dat het PV paneel draait ben je wel de bouwenergie aan het terugwinnen</t>
  </si>
  <si>
    <t xml:space="preserve">- Rendementsverlies: In-efficient gebruik van huidige fossiele energiecentrales door voorrang op net van wind en zon. </t>
  </si>
  <si>
    <t>Onbekend</t>
  </si>
  <si>
    <t>- Overide subsidies en risicodragend kapitaal; Regionale investeringsfondsen (provincies, gemeenten), Europese programma’s (Horizon 2020, EFRO), rijksoverheidsmaatregelen (Innovatiefonds MKB+, GO-regeling, MIT-regeling etc.), Venture Capital- fondsen en Groenbanken.</t>
  </si>
  <si>
    <t>SDE+ nog toe te kennen en uit te geven -  gemiddeld over 2013-2035  (HIER DIENT U HET VERSCHIL TUSSEN BASISBEDRAG EN CORRECTIEBEDRAG IN TE VULLEN)</t>
  </si>
  <si>
    <t>SDE+ nog toe te kennen en uit te geven -  gemiddeld over 2013-2035    (HIER DIENT U HET VERSCHIL TUSSEN BASISBEDRAG EN CORRECTIEBEDRAG IN TE VULLEN)</t>
  </si>
  <si>
    <t>ENERGIEBESPARING</t>
  </si>
  <si>
    <t>- Energiebesparing</t>
  </si>
  <si>
    <t>Wordt berekend via capaciteitstarief, maar komt bij benadering uit op 5 ct per kWh.</t>
  </si>
  <si>
    <t>Opmerking: Concurrentie tussen voedselproductie en brandstofproductie is hier niet in meegenomen.</t>
  </si>
  <si>
    <t>mln €/%</t>
  </si>
  <si>
    <t xml:space="preserve">In 2020 p.p.p.j.  </t>
  </si>
  <si>
    <t>In 2020 per gezin(4p) p.j.</t>
  </si>
  <si>
    <t>Totale uitgaven 2003-2035 p.p.</t>
  </si>
  <si>
    <t>Totale uitgaven 2003-2035 per gezin(4p)</t>
  </si>
  <si>
    <t>(*2) ECN/PBL, 'Het Energieakkoord, wat gaat het betekenen', doorrekening Energieakkoord sept 2013. http://www.pbl.nl/publicaties/het-energieakkoord-wat-gaat-het-betekenen</t>
  </si>
  <si>
    <t>Toename percentage hernieuwbare energie in 2020 tov 2013 --&gt;&gt;</t>
  </si>
  <si>
    <t>mlrd</t>
  </si>
  <si>
    <t>Energietransport-netwerk uitbreiden</t>
  </si>
  <si>
    <t>Opleidingen/ trainingen</t>
  </si>
  <si>
    <t>Innovatie-stimulering</t>
  </si>
  <si>
    <t xml:space="preserve"> % wind in elektra-mix uit dit model in 2020</t>
  </si>
  <si>
    <t xml:space="preserve">                                                                                                                                                                                                                                                                                                                                                                                                                                                                                                                                                                                                                                                                                                                                                                                                                                                                                                                                                                                                                                                                                                                                                                                                                                                                                                                                                                                                                                                                                                                                                                                                                                                                                                                                                                                                                                                                                                                                                                                                                                                                                                                                                                                                                                                                                                                                                                                                                                                                                                                                                                                                                                                                                                                                                                                                                                                                                                                                                                                                                                                                                                                                                                                                                                                                                                                                                                                                                                                                                                                                           </t>
  </si>
  <si>
    <t>Rapport Algemene Rekenkamer - april 2015 (*27)</t>
  </si>
  <si>
    <t>mln maximaal per jaar, bereikt in 2028</t>
  </si>
  <si>
    <t>- Lijst maatregelen EA</t>
  </si>
  <si>
    <t xml:space="preserve">(*33) Brief Min Kamp aan Voorzitter van de Tweede Kamer d.d. 14 januari 2013, Betreft Kasuitgaven en verplichtingenbudgetten SDE+. </t>
  </si>
  <si>
    <t>mln in totaal 2003 - 2030</t>
  </si>
  <si>
    <t>- Inleiding (deze pagina)</t>
  </si>
  <si>
    <t>- Resultaat vergelijk met rapport Algemene Rekenkamer</t>
  </si>
  <si>
    <t>Miljoenennota september 2012 - uitgaven per jaar na 2013 (vrijwel constant) (*3)</t>
  </si>
  <si>
    <t>Regeerakkoord oktober 2012 - structurele uitgaven na 2017 (*3)</t>
  </si>
  <si>
    <t>ECN doorrekening Energieakkoord  (*2)</t>
  </si>
  <si>
    <t>Benzine (puur - WelltoWheel) (met 32,2 MJ/ltr)</t>
  </si>
  <si>
    <t>Diesel (puur - WelltoWheel) (met 35,9 MJ/ltr)</t>
  </si>
  <si>
    <t>(*34) Statistiek IEA (2012). Hieruit volgt dat benzine ca 40% en diesel ca 60% van de brandstofmix in de EU bedraagt. Berekening:</t>
  </si>
  <si>
    <t xml:space="preserve">  Biobrandstof (WelltoTank=WelltoWheel)</t>
  </si>
  <si>
    <t>(*30)  Alleen uit voorketen. Geen bij verbranding.</t>
  </si>
  <si>
    <t>(*34) Bij 40% benzine en 60% dieselgebruik</t>
  </si>
  <si>
    <t>(PJ) bespaard</t>
  </si>
  <si>
    <t>Algemeen energiebesparing</t>
  </si>
  <si>
    <t>Zie tabblad energiebesparing</t>
  </si>
  <si>
    <t>algemeen</t>
  </si>
  <si>
    <t>uitgaven is ook misgelopen inkomsten (i.e. fiscale voordelen auto's en niet ontvangen energiebelasting)</t>
  </si>
  <si>
    <t>(*1, p47) 400 miljoen, maar dit geld wordt terugbetaald uit tijdelijke verhoging van energiebelasting van huurders</t>
  </si>
  <si>
    <r>
      <t xml:space="preserve">Op 6 september 2013 is het </t>
    </r>
    <r>
      <rPr>
        <b/>
        <i/>
        <sz val="12"/>
        <color theme="1"/>
        <rFont val="Calibri"/>
        <family val="2"/>
        <scheme val="minor"/>
      </rPr>
      <t xml:space="preserve"> 'EnergieAkkoord voor Duurzame Groei'</t>
    </r>
    <r>
      <rPr>
        <sz val="12"/>
        <color theme="1"/>
        <rFont val="Calibri"/>
        <family val="2"/>
        <scheme val="minor"/>
      </rPr>
      <t>(EA) afgesloten. Ruim veertig organisaties, waaronder de overheid, werkgevers, vakbeweging, natuur- en milieuorganisaties, andere maatschappelijke organisaties en financiële instellingen, verbinden zich aan het Energieakkoord voor duurzame groei. Kern van het akkoord zijn breed gedragen afspraken over energiebesparing, schone technologie en klimaatbeleid. Uitvoering van de afspraken moet resulteren in een betaalbare en schone energievoorziening, werkgelegenheid en kansen voor Nederland in de schone technologiemarkten.</t>
    </r>
  </si>
  <si>
    <r>
      <t>CO</t>
    </r>
    <r>
      <rPr>
        <vertAlign val="subscript"/>
        <sz val="12"/>
        <color theme="1"/>
        <rFont val="Calibri"/>
        <family val="2"/>
        <scheme val="minor"/>
      </rPr>
      <t>2</t>
    </r>
    <r>
      <rPr>
        <sz val="12"/>
        <color theme="1"/>
        <rFont val="Calibri"/>
        <family val="2"/>
        <scheme val="minor"/>
      </rPr>
      <t xml:space="preserve"> reductie door energiebesparing</t>
    </r>
  </si>
  <si>
    <r>
      <t>CO</t>
    </r>
    <r>
      <rPr>
        <vertAlign val="subscript"/>
        <sz val="12"/>
        <color theme="1"/>
        <rFont val="Calibri"/>
        <family val="2"/>
        <scheme val="minor"/>
      </rPr>
      <t>2</t>
    </r>
    <r>
      <rPr>
        <sz val="12"/>
        <color theme="1"/>
        <rFont val="Calibri"/>
        <family val="2"/>
        <scheme val="minor"/>
      </rPr>
      <t xml:space="preserve"> EMISSIES ELEKTRA OPWEK</t>
    </r>
  </si>
  <si>
    <r>
      <t>CO</t>
    </r>
    <r>
      <rPr>
        <vertAlign val="subscript"/>
        <sz val="12"/>
        <color theme="1"/>
        <rFont val="Calibri"/>
        <family val="2"/>
        <scheme val="minor"/>
      </rPr>
      <t>2</t>
    </r>
    <r>
      <rPr>
        <sz val="12"/>
        <color theme="1"/>
        <rFont val="Calibri"/>
        <family val="2"/>
        <scheme val="minor"/>
      </rPr>
      <t xml:space="preserve"> EMISSIES VERVOER</t>
    </r>
  </si>
  <si>
    <r>
      <t>ton CO</t>
    </r>
    <r>
      <rPr>
        <vertAlign val="subscript"/>
        <sz val="12"/>
        <rFont val="Calibri"/>
        <family val="2"/>
        <scheme val="minor"/>
      </rPr>
      <t>2</t>
    </r>
    <r>
      <rPr>
        <sz val="12"/>
        <rFont val="Calibri"/>
        <family val="2"/>
        <scheme val="minor"/>
      </rPr>
      <t>/ GWh</t>
    </r>
  </si>
  <si>
    <r>
      <t>gCO</t>
    </r>
    <r>
      <rPr>
        <vertAlign val="subscript"/>
        <sz val="12"/>
        <rFont val="Calibri"/>
        <family val="2"/>
        <scheme val="minor"/>
      </rPr>
      <t>2</t>
    </r>
    <r>
      <rPr>
        <sz val="12"/>
        <rFont val="Calibri"/>
        <family val="2"/>
        <scheme val="minor"/>
      </rPr>
      <t>eq/MJ</t>
    </r>
  </si>
  <si>
    <t>Woningen</t>
  </si>
  <si>
    <t>Energie Investerings Aftrek (fiscale maatregel)</t>
  </si>
  <si>
    <t>(*10) EIA jaarverslagen 2011-2014</t>
  </si>
  <si>
    <t>Belasting aftrek bedrijven (EIA)</t>
  </si>
  <si>
    <t xml:space="preserve">investeringen bevorderen </t>
  </si>
  <si>
    <t>besparing bevorderen</t>
  </si>
  <si>
    <t>Overheidsfonds 
(ipc revolverend)</t>
  </si>
  <si>
    <t>Overig i.e. CCS, emissiehandel en innovatie</t>
  </si>
  <si>
    <t>HOUTKACHELS BIJ PARTICULIEREN</t>
  </si>
  <si>
    <t xml:space="preserve"> (*35) CBS, Presentatie A. Meurink januari 2016; en http://statline.cbs.nl/Statweb/publication/?DM=SLNL&amp;PA=82004NED&amp;D1=5-8&amp;D2=a&amp;D3=23-24&amp;VW=T</t>
  </si>
  <si>
    <t>Bestaand aandeel (2013) (*20, p12, *35 ) (PJ)</t>
  </si>
  <si>
    <t>Biomassa tbv warmte - verbranding in houtkachels</t>
  </si>
  <si>
    <t xml:space="preserve">Zie verder onder tabblad 'Vervoer' </t>
  </si>
  <si>
    <t xml:space="preserve">BIOMASSA - VOOR ELEKTRICITEITOPWEKKING </t>
  </si>
  <si>
    <t xml:space="preserve">BIOMASSA - VOOR WARMTE </t>
  </si>
  <si>
    <t xml:space="preserve">Gesteld doel </t>
  </si>
  <si>
    <t xml:space="preserve">Totaal overig warmte uit Biomassa (PJ) </t>
  </si>
  <si>
    <t>Groei totale hoeveelheid warmte uit biomassa in 2020 naar</t>
  </si>
  <si>
    <t>Biomassa - tbv elektriciteit</t>
  </si>
  <si>
    <t>Biomassa - tbv warmte</t>
  </si>
  <si>
    <t xml:space="preserve">Biomassa tbv warmte - (warmte uit afvalverbranding, groen gas, vergisting etc) </t>
  </si>
  <si>
    <t>Biomassa tbv elektriciteit - (bijstook/meestook , bio-wkk etc)</t>
  </si>
  <si>
    <r>
      <t xml:space="preserve">Sinds de ondertekening van het EnergieAkkoord zijn er vele discussies op gang gekomen, ondermeer omtrent de directe </t>
    </r>
    <r>
      <rPr>
        <b/>
        <sz val="12"/>
        <color theme="1"/>
        <rFont val="Calibri"/>
        <family val="2"/>
        <scheme val="minor"/>
      </rPr>
      <t>financiële consequenties voor de burgers en bedrijven</t>
    </r>
    <r>
      <rPr>
        <sz val="12"/>
        <color theme="1"/>
        <rFont val="Calibri"/>
        <family val="2"/>
        <scheme val="minor"/>
      </rPr>
      <t xml:space="preserve">. </t>
    </r>
  </si>
  <si>
    <t>Totaal opgesteld vermogen op land (MW) (*35)</t>
  </si>
  <si>
    <t>MW gebouwd per jaar</t>
  </si>
  <si>
    <t>Houtkachels bij particulieren</t>
  </si>
  <si>
    <t>Kasuitgaven 2012 SDE+, SDE, MEP (*7)</t>
  </si>
  <si>
    <t>Biomassa tbv warmte</t>
  </si>
  <si>
    <t>zie tabel tabblad Biomassa</t>
  </si>
  <si>
    <t>Kasuitgaven 2010 SDE+, SDE, MEP (*7)</t>
  </si>
  <si>
    <t>MEP (van kracht tussen 2003-2006)</t>
  </si>
  <si>
    <t>SDE (van kracht tussen 2008-2010)</t>
  </si>
  <si>
    <t>Bron figuur: (*7 Jaarbericht RVO 2013)</t>
  </si>
  <si>
    <t xml:space="preserve">Totaal </t>
  </si>
  <si>
    <t>(*mln €) - (inc 2.999 mljn toegezegd in 2013)</t>
  </si>
  <si>
    <t>Aanname is dat het verschil met name de MEP is die is toegezegd in de periode 2003-2006, en daarnaast mogelijk grootschalige bijstook die niet in alle RVO rapportages is opgenomen.</t>
  </si>
  <si>
    <t>SDE 2006-2012</t>
  </si>
  <si>
    <t>SDE (van kracht tussen 2008-2010), Kasuitgaven 2008-2030</t>
  </si>
  <si>
    <t>MEP (van kracht tussen 2003-2006), Kasuitgaven 2003-2020</t>
  </si>
  <si>
    <t>Het verschil tussen toegezegde bedragen en kasuitgaven zit mogelijk in niet-gerealiseerde projecten.</t>
  </si>
  <si>
    <t>In de rapportage van de Algemene Rekenkamer (*27, p10&amp;16) staat echter dat een groter bedrag aan verplichtingen is aangegaan:</t>
  </si>
  <si>
    <t>In de rapportage van de Algemene Rekenkamer (*27, Grafiek 16) is ook een raming opgenomen van de totale Kasuitgaven. Hier is verder vanuit gegaan.</t>
  </si>
  <si>
    <t>Totaal uit SDE en MEP tm 2012</t>
  </si>
  <si>
    <t>(*7) Zie tabblad "SDE.. Tm 2012</t>
  </si>
  <si>
    <t>2003-2012 MEP/SDE/SDE+</t>
  </si>
  <si>
    <t>SDE en SDE+ tm 2012</t>
  </si>
  <si>
    <t>- SDE+ Subsidie voor 15 jaar - uitgaven in periode 2013-2035, verplichting aangegaan in 2013-2020  voor groei tot aangegeven MW</t>
  </si>
  <si>
    <t>(*6)+ zie tabblad Wind</t>
  </si>
  <si>
    <t>- SDE+ Subsidie voor 15 jaar - uitgaven in periode 2012-2035, verplichting aangegaan in 2014-2020  voor groei tot aangegeven MW</t>
  </si>
  <si>
    <t xml:space="preserve">- SDE+MEP  - Biomassa.  Vooral afvalverbranding en vergisting. Lopende verplichtingenaangegaan tm 2012. Aanname dat dit totaal in periode tm 2020 wordt uitgegeven gezien het niveau waar het nu al op zit. </t>
  </si>
  <si>
    <t>- SDE+  Biomassa tbv warmte</t>
  </si>
  <si>
    <t>- SDE+  Biomassa tbv elektriciteit</t>
  </si>
  <si>
    <t>In 2023, Na bereiken doelen wind op zee --&gt;&gt;</t>
  </si>
  <si>
    <t xml:space="preserve">Gemiddeld totale uitgaven 2003-2035 p.p.p.j. </t>
  </si>
  <si>
    <t>Totaal
(* €)</t>
  </si>
  <si>
    <t>Behalen doelstellingen</t>
  </si>
  <si>
    <t>Met de ingevulde uitgangspunten is het percentage hernieuwbare energie in 2020:</t>
  </si>
  <si>
    <t>De bereikte CO2 reductie ten opzichte van het jaar 1990 is:</t>
  </si>
  <si>
    <t>In 2023, met alle wind op zee doelstellingen gerealiseerd:</t>
  </si>
  <si>
    <t>Dit zijn de gebruikte referenties bij het vaststellen van de uitgaven</t>
  </si>
  <si>
    <t>(*1, p26)</t>
  </si>
  <si>
    <t xml:space="preserve">- SDE+ Subsidie - looptijd 15 jaar per turbine -  voor groei tot gekozen MW  </t>
  </si>
  <si>
    <t>SAMENVATTING UITGAVEN EA 2013-2020
INCL. MEP/SDE/SDE+ VA 2003</t>
  </si>
  <si>
    <t>DIRECTE UITGAVEN VOOR BURGER</t>
  </si>
  <si>
    <t>Minder inkomsten energiebedrijven doorbelast</t>
  </si>
  <si>
    <t>Kapitaalverliezen energiebedrijven doorbelast</t>
  </si>
  <si>
    <t>Transportkosten vermijding</t>
  </si>
  <si>
    <t>INDIRECTE UITGAVEN VOOR BURGER</t>
  </si>
  <si>
    <t>UITGAVEN VOOR DERDEN DOORBELAST AAN BURGER</t>
  </si>
  <si>
    <t>uitgaven voor netbeheerder/overheid</t>
  </si>
  <si>
    <t>uitgaven voor energiebedrijf met centrales in bezit</t>
  </si>
  <si>
    <t>uitgaven energiebedrijf</t>
  </si>
  <si>
    <t>extra uitgaven bij tanken bijmengsel</t>
  </si>
  <si>
    <t>per persoon (p.p.)- alle uitgaven omgeslagen</t>
  </si>
  <si>
    <t>per gezin(4p) - alle uitgaven omgeslagen</t>
  </si>
  <si>
    <t>In onderstaande tabel is goed te zien over welke jaren bepaalde uitgaven zijn meegenomen en welke niet. Voor het verkrijgen van een beter overzicht is van deze tabel ook een grafiek gemaakt (zie hieronder)</t>
  </si>
  <si>
    <t xml:space="preserve">NB: Het geheel is niet altijd even consistent. Sommige uitgaven lopen door en andere niet. </t>
  </si>
  <si>
    <t>uitgaven per % duurzame opwek  (*mln €)</t>
  </si>
  <si>
    <t>Bovenstaande uitgaven kunnen worden vergeleken met de uitgaven voor energie zoals gebudgetteerd door de regering. Deze zijn hier onder gegeven.</t>
  </si>
  <si>
    <t>Uitgaven vlgns Algemene Rekenkamer (ref *27, p16)</t>
  </si>
  <si>
    <t>UITGAVEN WINDENERGIE</t>
  </si>
  <si>
    <t>UITGAVEN ZON-PV</t>
  </si>
  <si>
    <t>UITGAVEN WARMTE</t>
  </si>
  <si>
    <t>UITGAVEN ENERGIE UIT BIOMASSA</t>
  </si>
  <si>
    <t>UITGAVEN STIMULERING SCHOON VERVOER</t>
  </si>
  <si>
    <t>UITGAVEN FISCALE MAATREGELEN</t>
  </si>
  <si>
    <t>UITGAVEN AAN BIJMENGEN BIOBRANDSTOFFEN</t>
  </si>
  <si>
    <t>De overheid ondersteunt reeds het FLOW consortium en het windpark Q10. WE, Eneco, TenneT, Ballast Nedam, Van Oord, IHC Merwede, 2-B Energy, XEMC Darwind, ECN en TU Delft. Deltares en WMC zijn toegetreden als associated partners. Doel 20% kostenreductie in 2015 (*4)</t>
  </si>
  <si>
    <t>subtotaal 2021-2038</t>
  </si>
  <si>
    <t>Bereikt percentage CO2-emissiereductie ten opzichte van 1990:</t>
  </si>
  <si>
    <t xml:space="preserve">*)  </t>
  </si>
  <si>
    <t>*) Eventuele opbrengst/besparing uitgedrukt in PJ vooralsnog niet bekend</t>
  </si>
  <si>
    <t>Uitgaven die al vastliggen</t>
  </si>
  <si>
    <t>De uitgaven worden gedaan uit energiebelasting, ander belastinggeld, verhoogde energieprijzen, vastrecht en via een heffing op de energierekening bij particulieren en bedrijven (ODE (Opslag Duurzame Energie)). Omgerekend per gezin:</t>
  </si>
  <si>
    <t>Uitgaven per gezin</t>
  </si>
  <si>
    <t>Vermeden uitgaven transport elektra voor particulier voor eigen opgewekte elektriciteit. Gemiddeld in 2003 - 2035</t>
  </si>
  <si>
    <t>De bovengenoemde uitgaven zijn deels al gemaakt in de afgelopen jaren en deels al toegekend als subsidie in de komende jaren. Deze uitgaven zijn dus niet meer te vermijden. Zie "Resultaatmatrix" voor meer details hier over.</t>
  </si>
  <si>
    <t>Matrixtabel met de uitgaven per maatregel en het effect</t>
  </si>
  <si>
    <t>Totaal uitgaven per  % hernieuwbare energie tm 2020</t>
  </si>
  <si>
    <t xml:space="preserve">SAMENVATTING TOTAAL UITGAVEN AAN HET ENERGIEAKKOORD BIJ GEKOZEN UITGANGSPUNTEN </t>
  </si>
  <si>
    <t>LIJST UITGAVEN ENERGIEAKKOORD  (LASTEN VOOR BURGERS EN BEDRIJVEN)</t>
  </si>
  <si>
    <t>UITGAVEN 2021-2035 (15jr)  (*mln €)</t>
  </si>
  <si>
    <r>
      <t xml:space="preserve">Gebouwde omgeving isolatie e.d.: subsidie beschikbaar voor verhuurders in de sociale huursector ten  behoeve van investeringen in energiebesparing voor de periode 2014-2017.  (Voor het overige is financiering aan banken verplicht gesteld. Dat zijn dus geen </t>
    </r>
    <r>
      <rPr>
        <sz val="11"/>
        <color theme="1"/>
        <rFont val="Calibri"/>
        <family val="2"/>
        <scheme val="minor"/>
      </rPr>
      <t>uitgaven voor de overheid.)</t>
    </r>
  </si>
  <si>
    <r>
      <t xml:space="preserve">geen </t>
    </r>
    <r>
      <rPr>
        <sz val="11"/>
        <color theme="1"/>
        <rFont val="Calibri"/>
        <family val="2"/>
        <scheme val="minor"/>
      </rPr>
      <t>uitgaven in EA genoemd</t>
    </r>
  </si>
  <si>
    <t>Pijler 3. Stimuleren decentrale duurzame energie (SDE bij Pijler 2 opgenomen. Dit zijn overige uitgaven. (Zie tabblad met toelichting)</t>
  </si>
  <si>
    <t xml:space="preserve">- Systeemuitgaven electriciteitsnet. Het grootste deel van die uitgaven zit in de netten of netverzwaring die nodig zijn, een ander deel in de back-up capaciteit die aanwezig moet zijn als het niet waait of de zon niet schijnt. </t>
  </si>
  <si>
    <t xml:space="preserve">-  Compensatie van de indirecte uitgaven (aan elektriciteit) ten gevolge van het ETS systeem, uitgaande van de best performance in de sector. </t>
  </si>
  <si>
    <r>
      <t xml:space="preserve">Waarschijnlijk geen </t>
    </r>
    <r>
      <rPr>
        <sz val="11"/>
        <color theme="1"/>
        <rFont val="Calibri"/>
        <family val="2"/>
        <scheme val="minor"/>
      </rPr>
      <t>uitgaven. Er blijven vrijwel evenveel centrales open.</t>
    </r>
  </si>
  <si>
    <r>
      <t xml:space="preserve">(*15) Zie ook tabblad 'vervoer'. Deze </t>
    </r>
    <r>
      <rPr>
        <sz val="11"/>
        <color theme="1"/>
        <rFont val="Calibri"/>
        <family val="2"/>
        <scheme val="minor"/>
      </rPr>
      <t>uitgaven zijn missen van accijns+ aanschafsubsidies zoals BPM en BTW vrijstelling en MIA en VAMIL</t>
    </r>
  </si>
  <si>
    <r>
      <t xml:space="preserve">zie 'algemene' </t>
    </r>
    <r>
      <rPr>
        <sz val="11"/>
        <color theme="1"/>
        <rFont val="Calibri"/>
        <family val="2"/>
        <scheme val="minor"/>
      </rPr>
      <t>uitgaven</t>
    </r>
  </si>
  <si>
    <t>INDIRECTE UITGAVEN ENERGIEAKKOORD  - Lasten (of baten) voor burgers en bedrijven</t>
  </si>
  <si>
    <t>Uitgaven CCS vlgns miljoenennota EZ</t>
  </si>
  <si>
    <r>
      <t>In deze excel-file worden de uitgaven aan de uitvoering van het SER '</t>
    </r>
    <r>
      <rPr>
        <i/>
        <sz val="12"/>
        <color theme="1"/>
        <rFont val="Calibri"/>
        <family val="2"/>
        <scheme val="minor"/>
      </rPr>
      <t>EnergieAkkoord voor Duurzame Groei'</t>
    </r>
    <r>
      <rPr>
        <sz val="12"/>
        <color theme="1"/>
        <rFont val="Calibri"/>
        <family val="2"/>
        <scheme val="minor"/>
      </rPr>
      <t xml:space="preserve"> 2013 (EA) uiteengezet.</t>
    </r>
  </si>
  <si>
    <t xml:space="preserve">De belangrijkste uitgangspunten van dit excel model zijn samengevat in het tabblad 'Uitgangspunten'. De gebruiker kan hier de uitgangspunten voor de uitgavenberekeningen conform zijn/haar eigen inzichten aanpassen. Het invullen vergt enige basiskennis van de wijze waarop de subsidies in elkaar zitten. Zo is er sprake van een SDE+ subsidie (Stimulering Duurzame Energieproductie). Dit is een exploitatiesubsidie. De SDE+ vergoedt aan de exploitant van de duurzame energie installatie het verschil tussen de kostprijs van grijze energie en die van de opgewekte duurzame energie. </t>
  </si>
  <si>
    <r>
      <t>Alleen de genoemde opties in het EnergieAkkoord om de CO</t>
    </r>
    <r>
      <rPr>
        <vertAlign val="subscript"/>
        <sz val="12"/>
        <color theme="1"/>
        <rFont val="Calibri"/>
        <family val="2"/>
        <scheme val="minor"/>
      </rPr>
      <t>2</t>
    </r>
    <r>
      <rPr>
        <sz val="12"/>
        <color theme="1"/>
        <rFont val="Calibri"/>
        <family val="2"/>
        <scheme val="minor"/>
      </rPr>
      <t xml:space="preserve"> emissie te verlagen zijn meegenomen. Andere opties zoals meer reizen per OV, minder vliegverkeer of kernenergie zijn hier niet beschouwd. Vlieg- en scheepvaartverkeer is in de internationale klimaatafspraken ook uitgesloten van klimaat/CO</t>
    </r>
    <r>
      <rPr>
        <vertAlign val="subscript"/>
        <sz val="12"/>
        <color theme="1"/>
        <rFont val="Calibri"/>
        <family val="2"/>
        <scheme val="minor"/>
      </rPr>
      <t>2</t>
    </r>
    <r>
      <rPr>
        <sz val="12"/>
        <color theme="1"/>
        <rFont val="Calibri"/>
        <family val="2"/>
        <scheme val="minor"/>
      </rPr>
      <t xml:space="preserve"> doelstellingen</t>
    </r>
  </si>
  <si>
    <t>Lijst met alle in het EnergieAkkoord genoemde maatregelen en de uitgaven per maatregelen voorzover genoemd in EnergieAkkoord. Berekeningen en achtergrondinformatie bij elke categorie.</t>
  </si>
  <si>
    <t>Een overzichtstabel die aangeeft waaraan welke uitgaven worden gemaakt</t>
  </si>
  <si>
    <t>Een overzichtstabel en grafiek van de uitgaven per maatregel per jaar</t>
  </si>
  <si>
    <t>SDE uitgavenberekening voor Windenergie</t>
  </si>
  <si>
    <t>SDE uitgavenberekening voor Photo Voltaïsche zonnepanelen</t>
  </si>
  <si>
    <t>SDE uitgavenberekening voor Zonthermie, Geothermie en WKO en WO warmte</t>
  </si>
  <si>
    <t>SDE uitgavenberekening voor energie uit Biomassa</t>
  </si>
  <si>
    <t>Inschatting uitgaven voor stimuleren duurzaam vervoer</t>
  </si>
  <si>
    <t>Inschatting uitgaven voor innovatiesubsidies</t>
  </si>
  <si>
    <t>- Alleen uitgaven zijn opgenomen van concrete maatregelen en doelstellingen in het EA. Diverse aannames kunnen in het tabblad 'Uitgangspunten' worden aangepast.</t>
  </si>
  <si>
    <t>- Uitgaven bij de maatregelen en doelstellingen zijn uit diverse openbare publicaties gehaald (zie tabblad 'Referenties'). Er zijn alleen openbaar beschikbare bronnen gebruikt.</t>
  </si>
  <si>
    <t>(*32) http://co2emissiefactoren.nl/wp-content/uploads/2015/01/2015-01-Warmtelevering.pdf  (IN CONCEPT) - 27/1/2016 niet meer gepubliceerd</t>
  </si>
  <si>
    <t>Per persoon per jaar (p.p.p.j.)- alle uitgaven omgeslagen</t>
  </si>
  <si>
    <t>Per gezin (4p) - alle uitgaven omgeslagen</t>
  </si>
  <si>
    <t>In 2030 per gezin(4p) p.j.</t>
  </si>
  <si>
    <t>Uitgaven per maatregel (% van totaal)</t>
  </si>
  <si>
    <t>Totaal met gekozen additionele (toekomstig) maatregelen voor hoger % hernieuwbare energie</t>
  </si>
  <si>
    <t>Schone voertuigen</t>
  </si>
  <si>
    <t>Biobrandstof bijmengen - tbv vervoer</t>
  </si>
  <si>
    <t>Energienetwerk uitbreiden</t>
  </si>
  <si>
    <t>Jaren</t>
  </si>
  <si>
    <t>% duurz</t>
  </si>
  <si>
    <t>% 2030</t>
  </si>
  <si>
    <t>% 2040</t>
  </si>
  <si>
    <t>% 2050</t>
  </si>
  <si>
    <t>Samen</t>
  </si>
  <si>
    <t>% uitgaven binnen EA</t>
  </si>
  <si>
    <t>CHECK=100</t>
  </si>
  <si>
    <t>% 2016</t>
  </si>
  <si>
    <t>Uitgaven gemiddeld verdeeld over 15 jaar, per jaar per %</t>
  </si>
  <si>
    <t>EA uitgaven zoals berekend binnen dit model</t>
  </si>
  <si>
    <t xml:space="preserve">Toekomstige additionele maatregelen (ter verhoging van het percentage hernieuwbare energieopwekking) </t>
  </si>
  <si>
    <t xml:space="preserve">  Additionele uitgaven per % hernieuwbare energieopwekking</t>
  </si>
  <si>
    <t xml:space="preserve">   % hernieuwbare energieopwekking per 2040</t>
  </si>
  <si>
    <t xml:space="preserve">   % hernieuwbare energieopwekking per 2050 </t>
  </si>
  <si>
    <t xml:space="preserve">   % hernieuwbare energieopwekking per 2030</t>
  </si>
  <si>
    <t>% daling additionele uitgaven per 10 jaar</t>
  </si>
  <si>
    <t>Totaal tm 2035 met toenemend % hernieuwbare energie</t>
  </si>
  <si>
    <t>doel EA</t>
  </si>
  <si>
    <t>Zon PV (groot)</t>
  </si>
  <si>
    <t>Zon PV (klein)</t>
  </si>
  <si>
    <r>
      <t>In het onderstaande is het resultaat van het model deels grafisch en deels via een matrix tabel gepresenteerd. Grafisch zijn de volgende resultaten weergegeven:
     1. Staafdiagram met de bijdragen in de jaarlijkse uitgaven voor het EnergieAkkoord voor de periode van 2003 t/m 2035 
     2. Taartgrafieken met een verdeling van de uitgaven en 'opbrengsten' naar de afzonderlijke maatregelvelden</t>
    </r>
    <r>
      <rPr>
        <sz val="12"/>
        <color rgb="FFFF0000"/>
        <rFont val="Calibri"/>
        <family val="2"/>
        <scheme val="minor"/>
      </rPr>
      <t xml:space="preserve">
</t>
    </r>
    <r>
      <rPr>
        <sz val="12"/>
        <color theme="1"/>
        <rFont val="Calibri"/>
        <family val="2"/>
        <scheme val="minor"/>
      </rPr>
      <t xml:space="preserve">     3. Staafdiagram van het EA, inclusief een scenario voor additionele maatregelen om in de toekomst tot een beduidend hoger percentage aan hernieuwbare energie te komen</t>
    </r>
  </si>
  <si>
    <t>De bedragen zijn samengevat in onderstaande matrix</t>
  </si>
  <si>
    <t xml:space="preserve">NB: Waneer beide tabellen worden opgeteld (dus nieuwe uitgaven energieakkoord plus reeds toegezegde bedragen MEP/SDE/SDE+  t/m 2013) volgt onderstaande tabel. </t>
  </si>
  <si>
    <t>INSCHATTING ADDITIONELE UITGAVEN MET TOENEMEND % HERNIEUWBARE ENERGIE NA 2020</t>
  </si>
  <si>
    <t>Opbrengst in PJ hernieuwbare energie + 
PJ energiebesparing</t>
  </si>
  <si>
    <r>
      <t>Opbrengst in CO</t>
    </r>
    <r>
      <rPr>
        <b/>
        <vertAlign val="subscript"/>
        <sz val="22"/>
        <color theme="6" tint="-0.249977111117893"/>
        <rFont val="Calibri"/>
        <family val="2"/>
        <scheme val="minor"/>
      </rPr>
      <t>2</t>
    </r>
    <r>
      <rPr>
        <b/>
        <sz val="22"/>
        <color theme="6" tint="-0.249977111117893"/>
        <rFont val="Calibri"/>
        <family val="2"/>
        <scheme val="minor"/>
      </rPr>
      <t xml:space="preserve"> emissiereductie</t>
    </r>
  </si>
  <si>
    <t>Uitgaven met toenemend % hernieuwbare energie na 2020 (BIJ INGEVULDE UITGANGSPUNTEN)</t>
  </si>
  <si>
    <t>Uitgaven per gezin; met additionele (toekomstige) maatregelen voor hoger % hernieuwbare energie na 2020</t>
  </si>
  <si>
    <t>doelstelling is 14% in 2020</t>
  </si>
  <si>
    <t>doelstelling is 16% in 2023</t>
  </si>
  <si>
    <r>
      <t xml:space="preserve">De uitvoering van een aantal subsidieregelingen is vastgelegd tot 2020. Het verdere verloop van aanvullende regelingen voor de periode na 2020 is op dit moment nog niet ingevuld waardoor we in een 'grijs gebied' terecht komen. In verband hiermee is in onderstaande grafiek een scenario weergegeven van de uitgaven voor additionele (toekomstige) maatregelen die getroffen dienen te worden om tot een hoger percentage aan hernieuwbare energie te komen. Enkele basisgegevens voor het verloop van het grijze gebied zijn door de gebruiker zelf op te geven. 
De </t>
    </r>
    <r>
      <rPr>
        <b/>
        <u/>
        <sz val="12"/>
        <rFont val="Calibri"/>
        <family val="2"/>
        <scheme val="minor"/>
      </rPr>
      <t>gekleurde staven</t>
    </r>
    <r>
      <rPr>
        <sz val="12"/>
        <rFont val="Calibri"/>
        <family val="2"/>
        <scheme val="minor"/>
      </rPr>
      <t xml:space="preserve"> in onderstaande grafiek hebben betrekking op de uitgaven voor het EnergieAkkoord zoals berekend binnen dit model.</t>
    </r>
  </si>
  <si>
    <t>Totaal EnergieAkkoord:</t>
  </si>
  <si>
    <t xml:space="preserve">  - Uitgavenverschuivingen zijn niet meegenomen. Met name de lagere rijksinkomsten door het wegvallen van kolenbelasting zijn niet meegerekend. Minder kolenbelasting leidt namelijk ook tot goedkopere stroom voor alle burgers, waardoor per saldo de uitgaven voor de burger gelijk blijven</t>
  </si>
  <si>
    <t>SDE+ (basisbedrag-corrbedrag) :</t>
  </si>
  <si>
    <t xml:space="preserve"> (*36) ECN, Eindadvies basisbedragen SDE+ 2016, 9 oktober 2015</t>
  </si>
  <si>
    <t>Middels dit spreadsheet model is getracht om inzicht te verschaffen in de extra uitgaven bovenop de reguliere uitgaven aan energie bij uitvoering van de genoemde maatregelen en doelstellingen in het EnergieAkkoord. De investeringen die worden gedaan in energieinstallaties door bedrijven en particulieren vallen hier dus niet onder.</t>
  </si>
  <si>
    <t>uur per jaar (was vast gegeven voor SDE+, maar sinds 2015 lokatieafhankelijk)</t>
  </si>
  <si>
    <t>uur per jaar</t>
  </si>
  <si>
    <t>uitgaven per % duurzame opwek (*mln)</t>
  </si>
  <si>
    <t>(*37) Regeling Minister van EZ gepubliceerd in Staatscourant 3 juli 2015, Nr 18526.</t>
  </si>
  <si>
    <t>Doelstelling, per 2020, voor groot en kleinschalig PV samen</t>
  </si>
  <si>
    <t xml:space="preserve">  - Inkomsten uit energiebesparing uit maatregelen die zichzelf zeer snel terugverdienen zijn niet meegenomen. Bijvoorbeeld het licht uit doen bij het verlaten van een ruimte. Het verwachte effect hiervan is verwaarloosd.</t>
  </si>
  <si>
    <t xml:space="preserve">Er worden in deze excel 2 perioden onderscheiden. De periode van 2003 tot 2020 (waarvan in  8 jaar het EA wordt uitgevoerd (2013-2020), inclusief de bouw van wind-op-zee parken tot en met 2023,  en de periode van 2021 tm 2035 (15 jaar). Het jaartal 2035 is van belang omdat de tegen 2020 aangegane verplichtingen ten aanzien van SDE subsidies over de 15 jaar daarna worden uitbetaald, dus tot en met 2035. </t>
  </si>
  <si>
    <t>Een volledige lijst van verwachte uitgaven is opgenomen in het tabblad 'Lijst maatregelen EA'. Veel van deze uitgaven zijn onbekend en daarom niet ingevuld.</t>
  </si>
  <si>
    <r>
      <t>Aantal vollasturen (voor subsidie en CO</t>
    </r>
    <r>
      <rPr>
        <vertAlign val="subscript"/>
        <sz val="12"/>
        <rFont val="Calibri"/>
        <family val="2"/>
        <scheme val="minor"/>
      </rPr>
      <t>2</t>
    </r>
    <r>
      <rPr>
        <sz val="12"/>
        <rFont val="Calibri"/>
        <family val="2"/>
        <scheme val="minor"/>
      </rPr>
      <t xml:space="preserve"> reductieberekening hier gelijk)</t>
    </r>
  </si>
  <si>
    <r>
      <t xml:space="preserve">Doelstelling, groei voor </t>
    </r>
    <r>
      <rPr>
        <u/>
        <sz val="12"/>
        <rFont val="Calibri"/>
        <family val="2"/>
        <scheme val="minor"/>
      </rPr>
      <t>2023</t>
    </r>
    <r>
      <rPr>
        <sz val="12"/>
        <rFont val="Calibri"/>
        <family val="2"/>
        <scheme val="minor"/>
      </rPr>
      <t xml:space="preserve"> tot</t>
    </r>
  </si>
  <si>
    <t>Correctiebedrag overgenomen ministeriële publicatie 2015 (*37).  Er is een ondergrens gesteld om de subsidie te beperken. Minimaal is het 2/3 van de verwachte LT-energieprijs(*27, p17).</t>
  </si>
  <si>
    <r>
      <rPr>
        <b/>
        <u/>
        <sz val="12"/>
        <rFont val="Calibri"/>
        <family val="2"/>
        <scheme val="minor"/>
      </rPr>
      <t>Autonoom deel per 2020=</t>
    </r>
    <r>
      <rPr>
        <b/>
        <sz val="12"/>
        <rFont val="Calibri"/>
        <family val="2"/>
        <scheme val="minor"/>
      </rPr>
      <t xml:space="preserve">  </t>
    </r>
    <r>
      <rPr>
        <sz val="12"/>
        <rFont val="Calibri"/>
        <family val="2"/>
        <scheme val="minor"/>
      </rPr>
      <t xml:space="preserve">Bijv oude 'MEP-molens' die blijven draaien en nieuw  gebouwd, zonder subsidie of fiscale voordelen . Inclusief curtailment effect. </t>
    </r>
    <r>
      <rPr>
        <u/>
        <sz val="12"/>
        <rFont val="Calibri"/>
        <family val="2"/>
        <scheme val="minor"/>
      </rPr>
      <t>(AANNAMES)</t>
    </r>
    <r>
      <rPr>
        <sz val="12"/>
        <rFont val="Calibri"/>
        <family val="2"/>
        <scheme val="minor"/>
      </rPr>
      <t xml:space="preserve"> (PJ)</t>
    </r>
  </si>
  <si>
    <t>uur per jaar (was vast gegeven voor SDE+, maar sinds 2015 onbeperkt)</t>
  </si>
  <si>
    <t>uur per jaar (gelijk aan subsidiabele vollasturen gekozen)</t>
  </si>
  <si>
    <t xml:space="preserve">Correctiebedrag elektriciteit (opbrengst productie grijze stroom) - gemiddeld over 2013-2020 </t>
  </si>
  <si>
    <t>Correctiebedrag elektriciteit (opbrengst productie grijze stroom) - gemiddeld over 2013-2020</t>
  </si>
  <si>
    <t>Correctiebedrag SDE+ (opbrengst productie grijze warmte) - gemiddeld over 2013-2020</t>
  </si>
  <si>
    <t xml:space="preserve">(*1 pag 101, par 9.3 punt 2 Zero Emissie) Uiteindelijk moeten in 2035 alle nieuw verkochte personen auto's CO2 emissievrij kunnen rijden. </t>
  </si>
  <si>
    <t>Alleen ondiepe bodemenergie en buitenluchtwarmte (WKO en Warmtepompen)</t>
  </si>
  <si>
    <t>(*20, tabel 8a)</t>
  </si>
  <si>
    <t>http://www.compendiumvoordeleefomgeving.nl/indicatoren/nl0165-Broeikasgasemissies-in-Nederland.html?i=5-20</t>
  </si>
  <si>
    <t>% Hernieuwbaar</t>
  </si>
  <si>
    <t>(*20 en 2020 waarde uit dit model)</t>
  </si>
  <si>
    <t xml:space="preserve"> mln tCO2</t>
  </si>
  <si>
    <t>mln ton CO2-eq reductie door hernieuwbaar</t>
  </si>
  <si>
    <t>gereduceerd per jaar in 2020 tov 2003</t>
  </si>
  <si>
    <t>2020 waarde uit dit model</t>
  </si>
  <si>
    <t>(*25;  2020 waarde berekend uit dit model)</t>
  </si>
  <si>
    <t>2020 waarde uit dit model.</t>
  </si>
  <si>
    <t>mln ton CO2 eq reductie uit hernieuwbaar per jaar tov 2003 (uit dit model)</t>
  </si>
  <si>
    <t>mln ton CO2 eq reductie uit energiebesparing per jaar tov 2003 (uit dit model)</t>
  </si>
  <si>
    <t xml:space="preserve">PJ duurzame opwek + PJ energiebesparing per jaar in 2020 tov 2003 (WoZ in 2023) </t>
  </si>
  <si>
    <t>uitgaven per PJ duurzame opwek per jaar in 2020 (WoZ 2023) (*mln €)</t>
  </si>
  <si>
    <t>GWh duurz opwek per jaar in 2020 (WoZ 2023)</t>
  </si>
  <si>
    <t xml:space="preserve">mln ton CO2 gereduceerd per jaar in 2020 tov 2003 (WoZ 2023) </t>
  </si>
  <si>
    <t>aandeel in duurzame opwek doelstelling (2020  - met WoZ per 2023)</t>
  </si>
  <si>
    <t>uitgaven per ton CO2 reductie in 2020</t>
  </si>
  <si>
    <r>
      <t xml:space="preserve">uitgaven in 2020 (WoZ 2023) (*mln </t>
    </r>
    <r>
      <rPr>
        <sz val="12"/>
        <rFont val="Calibri"/>
        <family val="2"/>
      </rPr>
      <t>€</t>
    </r>
    <r>
      <rPr>
        <sz val="10.8"/>
        <rFont val="Calibri"/>
        <family val="2"/>
      </rPr>
      <t>)</t>
    </r>
  </si>
  <si>
    <r>
      <t>tonCO2 emissie</t>
    </r>
    <r>
      <rPr>
        <u/>
        <sz val="12"/>
        <rFont val="Calibri"/>
        <family val="2"/>
        <scheme val="minor"/>
      </rPr>
      <t>reductie</t>
    </r>
    <r>
      <rPr>
        <sz val="12"/>
        <rFont val="Calibri"/>
        <family val="2"/>
        <scheme val="minor"/>
      </rPr>
      <t xml:space="preserve"> / GWh opgewekt (= emissie niet duurzaam -/- emissie duurzaam)</t>
    </r>
  </si>
  <si>
    <r>
      <t xml:space="preserve">(*30), (In (*31) staan ook andere mogelijke waarden varierend van 12 tot </t>
    </r>
    <r>
      <rPr>
        <sz val="12"/>
        <color rgb="FFFF0000"/>
        <rFont val="Calibri"/>
        <family val="2"/>
        <scheme val="minor"/>
      </rPr>
      <t>280</t>
    </r>
    <r>
      <rPr>
        <sz val="12"/>
        <rFont val="Calibri"/>
        <family val="2"/>
        <scheme val="minor"/>
      </rPr>
      <t xml:space="preserve"> in 2020 </t>
    </r>
    <r>
      <rPr>
        <sz val="12"/>
        <color rgb="FFFF0000"/>
        <rFont val="Calibri"/>
        <family val="2"/>
        <scheme val="minor"/>
      </rPr>
      <t xml:space="preserve">voor 1G biobrandstoffen uit Palmolie en Soja. </t>
    </r>
    <r>
      <rPr>
        <sz val="12"/>
        <rFont val="Calibri"/>
        <family val="2"/>
        <scheme val="minor"/>
      </rPr>
      <t>(*34)  Bij 40% benzine en 60% dieselgebruik</t>
    </r>
  </si>
  <si>
    <t xml:space="preserve">(*31) ICFi impact study 16 sept 2015  (hier onder afgedrukt) </t>
  </si>
  <si>
    <t>(*38) Globiom sudie, mbt Co2 emissie van biobrandstoffen (grafiek hier onder afgedrukt), “The land use change impact of biofuels consumed in the EU”, geschreven door Ecofys, IIASA en E4tech voor de Europese Commissie, 8-10-2015</t>
  </si>
  <si>
    <t>ONDIEPE BODEMENERGIE (WKO) MET WARMTEPOMP (WP) EN BUITENLUCHTWARMTE MET WP</t>
  </si>
  <si>
    <t>Warmte uit Warmtepomp (met/zonder WKO)</t>
  </si>
  <si>
    <t xml:space="preserve">Opbrengst in aandeel van % hernieuwbare energie </t>
  </si>
  <si>
    <t>Achtergrondinformatie verdeling uitgaven per jaar (*35)</t>
  </si>
  <si>
    <t>NB: De toegezegde bedragen MEP/SDE/SDE+  tot en met 2013 zijn opgenomen in onderstaande tabel door aflezen van grafiek in rapport Algemene Rekenkamer (*27)</t>
  </si>
  <si>
    <t>(*27)</t>
  </si>
  <si>
    <t xml:space="preserve"> (*35). Ca 50% = biomassa en 50% wind</t>
  </si>
  <si>
    <t>Totaal in dit jaar volgens CBS</t>
  </si>
  <si>
    <t>Totaal in dit jaar volgens Algemene Rekenkamer</t>
  </si>
  <si>
    <t xml:space="preserve"> NB: Aanname dat dit de hoeveelheid gegenereerde elektriciteit is (niet energie-inhoud biomassa)</t>
  </si>
  <si>
    <t>warmte</t>
  </si>
  <si>
    <t xml:space="preserve">biomassa warmte </t>
  </si>
  <si>
    <t>(*7) Jaarbericht 2012 MEP, SDE, SDE+ van AgentschapNL en Rapportage hernieuwbare energie+Jaarberichten SDE+, SDE, OV-MEP &amp; MEP 2013 en 2014 van RVO</t>
  </si>
  <si>
    <t>waarvan 33% houtkachels particulieren, zie (*35)</t>
  </si>
  <si>
    <t>86% in 2015, zie (*35)</t>
  </si>
  <si>
    <t>bron check getallen</t>
  </si>
  <si>
    <t xml:space="preserve">Kasuitgaven vóór 2013 waren er vrijwel niet. Uitgaven beginnen volop per 2013 (*7). </t>
  </si>
  <si>
    <t>Er is al 4,8 miljard toegezegd volgens (*7) na 2013</t>
  </si>
  <si>
    <t xml:space="preserve">(*7) In 2013 werd € 285 mln uitgekeerd aan SDE voor biomassa bijstook voor 4 mljrd kWh. </t>
  </si>
  <si>
    <t>Het heeft mogelijk meegelift op subsidie voor biomassa- tbv elektriciteit.</t>
  </si>
  <si>
    <t>Hier wordt dus aangenomen dat alleen de toename tov 2013 wordt gesubsidieerd.</t>
  </si>
  <si>
    <t>Revolverend Fonds tbv gebouwde omgeving. Deel dat niet revolveert.</t>
  </si>
  <si>
    <t>- Effect wind op zee op scheepvaartroutes, zandwinning, omzet havens, tourisme etc.</t>
  </si>
  <si>
    <t>- Effect wind op land op waarde landschap, waarde onroerend goed, gezondheid</t>
  </si>
  <si>
    <t>- Effect op winst bedrijven. Dwz Eneco, HVC (investeert mee in Gemini). Ook Bank Ned Gemeenten, Cofely ed</t>
  </si>
  <si>
    <t>- Uitgaven of juist inkomsten door bestrijden werkeloosheid. Ambitie = 22.000 banen in 2013 tov 2.000 in 2010 in Windenergie(*4) . Daarnaast banen door isolatie van huizen e.d.</t>
  </si>
  <si>
    <t>- Uitgaven opstellen en doen uitvoeren van EnergieAkkoord zelf</t>
  </si>
  <si>
    <t>ISDE per 2016 geopend. Met de Investeringssubsidie duurzame energie (ISDE) kunt u een tegemoetkoming krijgen voor de aanschaf van zonneboilers, warmtepompen, biomassaketels en pelletkachels. In 2016 is er € 70 miljoen subsidie beschikbaar.</t>
  </si>
  <si>
    <t>energieinfra extra uitgaven tbv energieakkoord (bijv. biogas in distributienet, landennetten aan elkaar knopen, uitrol slimme meters, smart grids, opslagcapaciteit ontwikkelen)</t>
  </si>
  <si>
    <t>-  Energieinfrastructuur -  extra uitgaven tbv energieakkoord tm 2020 (bijv. biogas in distributienet, landennetten aan elkaar knopen, uitrol slimme meters, smart grids, opslagcapaciteit ontwikkelen)  NB: Uitgaven 'stopcontact op zee' vallen hier niet onder. Die zijn bij Wind op zee opgenomen.</t>
  </si>
  <si>
    <t>Zie bij uitgangspunten. Aanname.</t>
  </si>
  <si>
    <t>De totale uitgaven aan de energieinfrastructuur zijn te vinden in rapportages van ondermeer Tennet. Dit betreft een deel daarvan.  (*14). Meettarief gaat niet omhoog is toegezegd, maar uitrol slimme meters brengt hoe dan ook uitgaven met zich mee. (*1, p89) Uitgaven onderzoek landennetten voorstel via topsectorenbeleid. Uitgaven aanleg zit hier in.</t>
  </si>
  <si>
    <t>uitgaven voor overheid (die betaalt netbeheerders ervoor, of netbeheerders verwerken het in hun tarief)</t>
  </si>
  <si>
    <t>SDE+ nog toe te kennen en uit te geven -  gemiddeld over 2013-2035  (HIER DIENT U, ANDERS DAN HIER BOVEN, HET VERSCHIL TUSSEN BASISBEDRAG EN CORRECTIEBEDRAG IN TE VULLEN)</t>
  </si>
  <si>
    <r>
      <t xml:space="preserve">(*11), wordt betaald door woningcorporaties, gefinancierd vanuit energiebesparing. Noot: Raming is </t>
    </r>
    <r>
      <rPr>
        <sz val="11"/>
        <color theme="1"/>
        <rFont val="Calibri"/>
        <family val="2"/>
      </rPr>
      <t xml:space="preserve">€ </t>
    </r>
    <r>
      <rPr>
        <sz val="11"/>
        <color theme="1"/>
        <rFont val="Calibri"/>
        <family val="2"/>
        <scheme val="minor"/>
      </rPr>
      <t>80.000per woning.</t>
    </r>
  </si>
  <si>
    <r>
      <t xml:space="preserve">SDE+ in mln </t>
    </r>
    <r>
      <rPr>
        <sz val="11"/>
        <rFont val="Calibri"/>
        <family val="2"/>
      </rPr>
      <t>€</t>
    </r>
    <r>
      <rPr>
        <sz val="11"/>
        <rFont val="Calibri"/>
        <family val="2"/>
        <scheme val="minor"/>
      </rPr>
      <t>/jaar</t>
    </r>
  </si>
  <si>
    <t>(*20) Nationale energieverkenning 2016 (NEV) - rapportage &amp;  tabellen</t>
  </si>
  <si>
    <t>naar 170,9 bij voorgenomen beleid</t>
  </si>
  <si>
    <t>% CO2 eq reductie</t>
  </si>
  <si>
    <t>PJ uit hernieuwbaar per jaar</t>
  </si>
  <si>
    <t>(*20, tabel A9)</t>
  </si>
  <si>
    <t>(*20, tabel A9, diensten)</t>
  </si>
  <si>
    <t>Gebouwen zakelijk</t>
  </si>
  <si>
    <t>aardgas</t>
  </si>
  <si>
    <t>MINDER ENERGIEBELASTINGINKOMSTEN DOOR ENERGIEBESPARING</t>
  </si>
  <si>
    <t>elektra productie</t>
  </si>
  <si>
    <t>Toegekende subsidies</t>
  </si>
  <si>
    <t>OWEZ (Egmond)</t>
  </si>
  <si>
    <t>bestaand</t>
  </si>
  <si>
    <t>Investering (mln)</t>
  </si>
  <si>
    <t>In bedrijf per</t>
  </si>
  <si>
    <t>Amalia (Ijmuiden) (Q7)</t>
  </si>
  <si>
    <r>
      <t xml:space="preserve">Subsidie totaal over meerdere jaren uitgekeerd - max, zakt als stroomprijs stijgt (mln </t>
    </r>
    <r>
      <rPr>
        <sz val="11"/>
        <rFont val="Calibri"/>
        <family val="2"/>
      </rPr>
      <t>€)</t>
    </r>
  </si>
  <si>
    <t>Duur subsidie (jr)</t>
  </si>
  <si>
    <t>productie per jaar (10^6*kWh)</t>
  </si>
  <si>
    <r>
      <t>Kasuitgaven MEP toegekend 2003 - 2006 uit (*27) Uit te geven 2003-2020 (*mln</t>
    </r>
    <r>
      <rPr>
        <sz val="12"/>
        <rFont val="Calibri"/>
        <family val="2"/>
      </rPr>
      <t>€</t>
    </r>
    <r>
      <rPr>
        <sz val="10.8"/>
        <rFont val="Calibri"/>
        <family val="2"/>
      </rPr>
      <t>) (*27) en (*7 Jaarbericht RVO 2013 voor aandeel wind)</t>
    </r>
  </si>
  <si>
    <t>Egmond, Amalia, Luchterduinen en Gemini. Subsidie opgenomen in tabblad 'SDE&amp;SDE+&amp;MEP tm 2012</t>
  </si>
  <si>
    <t>Dus gaat nog in SDE+ vallen:</t>
  </si>
  <si>
    <t xml:space="preserve">Totaal opgesteld of in aanbouw </t>
  </si>
  <si>
    <t xml:space="preserve">Tennet aangeboden dit voor 3 mljrd te realiseren. Commerciële ontwikkelaars hadden het eerder aangeboden voor 6 mljrd.(*8)(*9) </t>
  </si>
  <si>
    <t>Vast aantal vollasturen voor subsidie in 2015 afgeschaft. Nu is het afhankelijk van de locatie. ECN verwacht &gt; 3900u.  http://vrijehorizon.nl/wp-content/uploads/2016/01/ECN-042015.pdf</t>
  </si>
  <si>
    <t>Het model is opgezet door een tweetal onafhankelijke ingenieursbureau's:
    - BreedofBuilds
    - Process Design Center</t>
  </si>
  <si>
    <t>uitgaven voor overheid (die betaalt netbeheerders er voor)</t>
  </si>
  <si>
    <t>Resultaat % hernieuwbare energie in 2020</t>
  </si>
  <si>
    <r>
      <t xml:space="preserve">TABEL 1B
(*mln </t>
    </r>
    <r>
      <rPr>
        <b/>
        <sz val="14"/>
        <rFont val="Calibri"/>
        <family val="2"/>
      </rPr>
      <t>€ )</t>
    </r>
  </si>
  <si>
    <r>
      <t xml:space="preserve">TABEL 1A + 1B
(*mln </t>
    </r>
    <r>
      <rPr>
        <b/>
        <sz val="14"/>
        <rFont val="Calibri"/>
        <family val="2"/>
      </rPr>
      <t xml:space="preserve">€ ) </t>
    </r>
    <r>
      <rPr>
        <b/>
        <i/>
        <sz val="14"/>
        <rFont val="Calibri"/>
        <family val="2"/>
      </rPr>
      <t xml:space="preserve">                                          </t>
    </r>
    <r>
      <rPr>
        <b/>
        <sz val="14"/>
        <rFont val="Calibri"/>
        <family val="2"/>
      </rPr>
      <t xml:space="preserve">- </t>
    </r>
  </si>
  <si>
    <t xml:space="preserve">Geen doelstelling genoemd in EA. In NEV 2016 (*20) wordt doel genoemd van 6,8PJ per jaar in 2020. Anno 2013 is het 1PJ/jaar. </t>
  </si>
  <si>
    <t xml:space="preserve">Moet volgens EA flink groeien. Volgens NEV en Algemene Rekenkamer naar 11,9 PJ of resp. 19,4 PJ (*20, *27) , maar geen directe subsidie in EA genoemd. Is anno 2013 6,1 PJ   </t>
  </si>
  <si>
    <t>Hoeveelheid zonthermisch in 2012 waarvan SDE, MEP ed al toegekend</t>
  </si>
  <si>
    <t>Huidige 2013 hoeveelheid warmte uit biomassa</t>
  </si>
  <si>
    <t>Houtkachels doelstelling, per 2020, vooral particulieren (ZONDER SUBSIDIE)</t>
  </si>
  <si>
    <t xml:space="preserve">MW  = </t>
  </si>
  <si>
    <t>Aangenomen groeiscenario van grootschalig PV panelen die onder SDE+ vallen:</t>
  </si>
  <si>
    <t>Alleen grootschalig PV</t>
  </si>
  <si>
    <t>(zie *20, 2015 versie, tabel 7b)</t>
  </si>
  <si>
    <t xml:space="preserve">Doel in 2020 zonPV opgesteld </t>
  </si>
  <si>
    <t>In 2013 was het 2120 PJ per jaar (NEV ref *20). Volgens NEV (*20) wordt het 2020 bij de huidige besparingstrends/vastgesteld beleid 2047 PJ/jaar. In het EA staat een doelstelling van 100 PJ minder tov 2013. Dus dat zou 2120-100=2020 PJ betekenen in 2020. Dat wordt niet gehaald volgens het NEV.</t>
  </si>
  <si>
    <t>Vermogen extra gestimuleerd</t>
  </si>
  <si>
    <t>MJ</t>
  </si>
  <si>
    <t>kWh</t>
  </si>
  <si>
    <t xml:space="preserve">MJ = </t>
  </si>
  <si>
    <t>Bij gebruik wkk</t>
  </si>
  <si>
    <t>w-Rendement wkk</t>
  </si>
  <si>
    <t>e-Rendement wkk</t>
  </si>
  <si>
    <t>% warmte uit wkk die wordt benut</t>
  </si>
  <si>
    <t>TOTAAL Primaire energie nodig zonder wkk</t>
  </si>
  <si>
    <t>NB: de meest moderne gascentrale is 58%</t>
  </si>
  <si>
    <t>Mwe</t>
  </si>
  <si>
    <t>Primaire energie nodig bij elektra uit e-centrale</t>
  </si>
  <si>
    <t xml:space="preserve">TOTAAL Primaire energie nodig met wkk </t>
  </si>
  <si>
    <t>Energiebesparing bereikt</t>
  </si>
  <si>
    <t>Elektriciteit + Warmte uit wkk</t>
  </si>
  <si>
    <t>Energiebesparing per e+w nuttig opgewekt</t>
  </si>
  <si>
    <t>In 1998 stond er 9GW aan opsteld WKK vermogen</t>
  </si>
  <si>
    <t>Hiermee werd 100PJ aan besparing bereikt</t>
  </si>
  <si>
    <t>http://www.clo.nl/indicatoren/nl0387-warmtekracht-vermogen</t>
  </si>
  <si>
    <t>http://cogen.nl/publicat/WKK_de_energiebesparing_technologie_bij_uitstek_4.pdf</t>
  </si>
  <si>
    <t>opwek zonder wkk</t>
  </si>
  <si>
    <t>e-Rendement gemiddeld bij invoeden in net</t>
  </si>
  <si>
    <t>gecorrigeerd w-rendement</t>
  </si>
  <si>
    <t>totaal rendement wkk</t>
  </si>
  <si>
    <t>Vollasturen wkk</t>
  </si>
  <si>
    <t>Elektriciteit die je gaat benutten  (Maakt niet uit wat hier wordt ingevuld)</t>
  </si>
  <si>
    <t>Warmte die je minimaal tegelijkertijd ook nodig hebt en evt met wkk wordt opgewekt</t>
  </si>
  <si>
    <t>mln ton CO2 eq/PJ - gemiddeld totale energiepark. Zegt iets over hoe schoon ons opwekpark gemiddeld is. Voor 2020 kan een aanname worden gedaan. Wordt default berekend met getallen uit de NEV (*20).</t>
  </si>
  <si>
    <r>
      <t>(*30) - Voor referentiejaar 2013. Geen toekomstige waarden invullen. Als getal lager wordt (bijv. door vervanging van kolencentrales) vermindert de CO</t>
    </r>
    <r>
      <rPr>
        <vertAlign val="subscript"/>
        <sz val="12"/>
        <rFont val="Calibri"/>
        <family val="2"/>
        <scheme val="minor"/>
      </rPr>
      <t>2</t>
    </r>
    <r>
      <rPr>
        <sz val="12"/>
        <rFont val="Calibri"/>
        <family val="2"/>
        <scheme val="minor"/>
      </rPr>
      <t xml:space="preserve"> reductie tgv hernieuwbare energie. Dit is verwerkt in de berekening.</t>
    </r>
  </si>
  <si>
    <t>Primaire energie nodig bij warmte uit cv ketel met 95% rendement</t>
  </si>
  <si>
    <t>Wind op Land elektriciteit</t>
  </si>
  <si>
    <t>Wind op Zee elektriciteit</t>
  </si>
  <si>
    <t>Zon PV elektriciteit</t>
  </si>
  <si>
    <t>Waterkracht elektriciteit</t>
  </si>
  <si>
    <t>ELEKTRICITEIT UIT BIOMASSA (= BIJ- EN MEESTOOK KOLENCENTRALES, ELEKTRICITEIT UIT AVI'S, BIO-WKK, ETC.)</t>
  </si>
  <si>
    <t>WARMTE UIT BIOMASSA (=WARMTE UIT AVI'S/HOUTKETELS/GROEN GAS/BIO-WKK ETC. ) - EXCLUSIEF HOUTKACHELS BIJ PARTICULIEREN</t>
  </si>
  <si>
    <t>Biomassa tbv elektriciteit (gemiddeld bij- en meestook, avi's, bio-wkk etc)</t>
  </si>
  <si>
    <t xml:space="preserve">Zie (*32). Omgerekend 25,05 kgCO2/GJ * 3600 GJ/GWh *1/1000 = 90,18 ton CO2/GWh. </t>
  </si>
  <si>
    <t>Warmte uit houtkachels/open haarden bij particulieren</t>
  </si>
  <si>
    <t>Aanname</t>
  </si>
  <si>
    <t xml:space="preserve">Zie (*32). Gemiddelde van 25 kgCO2/GJ aangenomen. Omgerekend 25 kgCO2/GJ * 3600 GJ/GWh *1/1000 = 90,18 ton CO2/GWh. </t>
  </si>
  <si>
    <t>Grijze elektriciteit (referentiewaarde)</t>
  </si>
  <si>
    <t>Warmte uit aardgas (referentiewaarde)</t>
  </si>
  <si>
    <t>Mix van benzine/diesel (WelltoWheel) - (referentiewaarde)</t>
  </si>
  <si>
    <t>Warmte uit biomassa. Gemiddelde uit bij- en meestook in kolencentrales, bio-wkk, avi's etc.  (exclusief open haarden)</t>
  </si>
  <si>
    <t>Aanname 100% rendement. Alleen uit voorketen, geen bij verbranding. Maar warmte niet altijd benut. Daar wordt in dit model geen rekening mee gehouden.</t>
  </si>
  <si>
    <t>Zie o.a. (*30) Omgerekend [1,884kgCO2/m3 / 35,17MJ/m3 * 3,6 MJ/kWh / 95% *10^3 = 203 ton CO2/GWh]. (95% is aangenomen als gemiddeld rendement)</t>
  </si>
  <si>
    <t>CO2 emissie tgv verbranding aardgas</t>
  </si>
  <si>
    <t>ton CO2/GWh</t>
  </si>
  <si>
    <r>
      <rPr>
        <sz val="11"/>
        <color theme="1"/>
        <rFont val="Calibri"/>
        <family val="2"/>
      </rPr>
      <t>€/tCO2</t>
    </r>
  </si>
  <si>
    <t>PJ per jaar</t>
  </si>
  <si>
    <t>Subsidie totaal - per jaar</t>
  </si>
  <si>
    <t>Elektriciteit + Warmte opgewekt uit wkk</t>
  </si>
  <si>
    <t>Aardgas verstookt</t>
  </si>
  <si>
    <t>ton CO2/PJ</t>
  </si>
  <si>
    <t>CO2 reductie bereikt per jaar</t>
  </si>
  <si>
    <t>Voorbeeld case energiebesparing: Inzet van lokale gaswkk</t>
  </si>
  <si>
    <t>(Zie NEV (*20), tabel A7)</t>
  </si>
  <si>
    <t>In 2016 is vrijwel de gehele 25PJ voor bij- en meestook toegekend (In 2015 niks)</t>
  </si>
  <si>
    <t>25 PJ ~7 mljrd kWh en 8*7=56 mljrd kWh</t>
  </si>
  <si>
    <t>Bij- en meestook stopt. Gemaximeerd op max 55,5 mljrd kWh. (Zie SDE brochure RVO 2016)</t>
  </si>
  <si>
    <t>Looptijd verkort to ca 12 jaar ipv 15</t>
  </si>
  <si>
    <t>plus de derving van energiebelasting door energiebesparing</t>
  </si>
  <si>
    <t>Uitvoering EA vlgns miljoenennota EZ</t>
  </si>
  <si>
    <t>- MEP, SDE en SDE+  verplichtingen aangegaan tot eind 2012. Aanname 50% uitgegeven tussen 2013-2020. 50% in 2021-2035.</t>
  </si>
  <si>
    <t>- MEP, SDE en SDE+  verplichtingen aangegaan tot eind 2012. Aanname 75% uitgegeven tussen 2013-2020. 25% in 2021-2035.</t>
  </si>
  <si>
    <t>- MEP, SDE en SDE+ verplichtingen aangegaan tot eind 2012. Aanname 75% uitgegeven tussen 2013-2020. 25% in 2021-2035.</t>
  </si>
  <si>
    <t>biomassa tbv elektriciteit</t>
  </si>
  <si>
    <t>biomassa tbv warmte</t>
  </si>
  <si>
    <t xml:space="preserve">Totaal overige subsidies </t>
  </si>
  <si>
    <t>KLEINSCHALIG/PARTICULIER PV - vrijstelling energiebelasting (saldering)</t>
  </si>
  <si>
    <t>De opzet van het model is zo veel mogelijk gedaan volgens de opbouw van de Algemene Rekenkamer (ref*27, *28), voor zover uit de openbare rapportages is te halen. Deze is gebaseerd (in het 0-scenario) op de National Energie Verkenning (NEV) (ref *20). In de NEV, scenario 'vastgesteld beleid', zijn de afspraken uit het EA voorzover al bekend waren en bindend waren meegenomen. Het EA bevat meer afspraken die hier niet in zijn meegenomen of deels zijn meegenomen in het scenario 'voorgenomen beleid' in de NEV (zie ref *20, p10, p30 uit rapport). Bij de opbouw van tabellen is waar mogelijk dezelfde volgorde aangehouden als die in de NEV om een makkelijk vergelijk mogelijk te maken.</t>
  </si>
  <si>
    <r>
      <t xml:space="preserve">In 2003 - 2013 is in totaal 424mln toegekend. SDE+ basisbedrag voorjaar 2017 is €0,053 tot €0,057 per kWh. Correctiebedrag is </t>
    </r>
    <r>
      <rPr>
        <sz val="12"/>
        <rFont val="Calibri"/>
        <family val="2"/>
      </rPr>
      <t>€</t>
    </r>
    <r>
      <rPr>
        <sz val="12"/>
        <rFont val="Calibri"/>
        <family val="2"/>
        <scheme val="minor"/>
      </rPr>
      <t>0,012/kWh</t>
    </r>
  </si>
  <si>
    <t>Correctiebedragen varieren in 2015 tussen 5€/GJ  en 10€/GJ. (Ofwel 0,018€/kWh - 0,036€/kWh)</t>
  </si>
  <si>
    <r>
      <t>CO</t>
    </r>
    <r>
      <rPr>
        <vertAlign val="subscript"/>
        <sz val="12"/>
        <rFont val="Calibri"/>
        <family val="2"/>
        <scheme val="minor"/>
      </rPr>
      <t>2</t>
    </r>
    <r>
      <rPr>
        <sz val="12"/>
        <rFont val="Calibri"/>
        <family val="2"/>
        <scheme val="minor"/>
      </rPr>
      <t xml:space="preserve"> EMISSIES WARMTE OPWEK</t>
    </r>
  </si>
  <si>
    <t>Aanname: Gemiddeld COP=5. Berekend uit CO2 emissie grijze elektriciteit/COP</t>
  </si>
  <si>
    <t>extra bovenop al  budget toegekend tm 2012</t>
  </si>
  <si>
    <t>extra bovenop al  budget toegekend tm Gemini</t>
  </si>
  <si>
    <t>Totaal SDE+, SDE, MEP toegekend tm 2012. Wordt uitbetaald in 2003-2020</t>
  </si>
  <si>
    <t>Totaal SDE+, SDE, MEP toegekend tm 2012. Wordt uitbetaald in 2021-2035</t>
  </si>
  <si>
    <t>Bijstook in kolencentrales is gemaximeerd op 25PJ per jaar (=6,9 mljrd kWh)  Zie ook (*20, tabel A.7)</t>
  </si>
  <si>
    <t xml:space="preserve">Biobrandstoffen bijgemengd </t>
  </si>
  <si>
    <t>tm 2016</t>
  </si>
  <si>
    <t>toegekende bedragen SDE+ va 2012</t>
  </si>
  <si>
    <t>Uitgaven overheid per miljoen ton CO2 reductie</t>
  </si>
  <si>
    <t>Gekozen op basis van berekening op website kasklimaat.nl (zie onderaan dit tabblad)</t>
  </si>
  <si>
    <t>Subsidie per kWh elektrisch (meerkosten boven marktprijs van 3 ct/kWhe)</t>
  </si>
  <si>
    <t>mln tCO2 per jaar</t>
  </si>
  <si>
    <t>extra CO2 reductie</t>
  </si>
  <si>
    <t>mln ton CO2 eq door energetisch energiegebruik per jaar (*25, 2020 uit dit model)</t>
  </si>
  <si>
    <t>mln ton CO2 eq door energetisch energiegebruik  per jaar (*20)</t>
  </si>
  <si>
    <t>* http://www.rvo.nl/subsidies-regelingen/energie-investeringsaftrek-eia</t>
  </si>
  <si>
    <t>* https://www.jaarverslagenrvo.nl/eia/2016/01/kerncijfers-eia-2015</t>
  </si>
  <si>
    <t>Totale bruto primair energiegebruik (inc olie voor plastics ed) in Nederland is 3177 PJ (2013), ofwel per jaar:</t>
  </si>
  <si>
    <t xml:space="preserve"> (*25 &amp; *20), vlgns CBS 1939 PJ</t>
  </si>
  <si>
    <t xml:space="preserve"> (*25 &amp; *20). vlgns CBS is het 3206 PJ, dus klein verschil en is ex bunkering.</t>
  </si>
  <si>
    <t>Het finaal energieverbruik (eindverbruik) per jaar (2013) bedraagt:</t>
  </si>
  <si>
    <t>Finaal energiegebruik (eindverbruik) per jaar (PJ)</t>
  </si>
  <si>
    <r>
      <rPr>
        <sz val="11"/>
        <rFont val="Calibri"/>
        <family val="2"/>
      </rPr>
      <t>€/kWhe</t>
    </r>
  </si>
  <si>
    <r>
      <t xml:space="preserve">mln </t>
    </r>
    <r>
      <rPr>
        <sz val="11"/>
        <rFont val="Calibri"/>
        <family val="2"/>
      </rPr>
      <t>€ per jaar</t>
    </r>
  </si>
  <si>
    <t>Dus aangenomen totaal EIA en Topsector energie budget 150 mln per jaar gehandhaafd. Periode 2003 - 2020</t>
  </si>
  <si>
    <t>Verbruik min besparingsdoel: Finaal verbruik (eindverbruik) per jaar in 2020.</t>
  </si>
  <si>
    <t>Aantal nederlanders (mln)</t>
  </si>
  <si>
    <t xml:space="preserve">In SDE+ 2015 geen bedragen genoemd. Mogelijk wordt geheel geen subsidie verstrekt. </t>
  </si>
  <si>
    <t>Correctiebedrag voorlopig uit SDE 2017. Wordt jaarlijks door ECN vastgesteld. Er is een ondergrens om de subsidie te beperken. Minimaal is het 2/3 van de verwachte Lange Termijn-energieprijs(*27, p17).</t>
  </si>
  <si>
    <t>Correctiebedrag voorlopig uit SDE 2017 voor Wind op Land, door ECN vastgesteld. Er is een ondergrens om de subsidie te beperken. Minimaal is het 2/3 van de verwachte Lange Termijn-energieprijs(*27, p17).</t>
  </si>
  <si>
    <t>Huidig gerealiseerd en concreet gepland vermogen is als volgt:</t>
  </si>
  <si>
    <t>Totaal opgesteld vermogen op zee (MW) (*35)</t>
  </si>
  <si>
    <t xml:space="preserve">SDE Subsidie (max)(ct/kWh) (Basisbedrag - correctiebedrag) </t>
  </si>
  <si>
    <t>=18% per 2020 volgens Algemene Rekenkamer (*27, p23)</t>
  </si>
  <si>
    <t>Emond, IJmuiden WoZ</t>
  </si>
  <si>
    <t>2015: Luchterduinen</t>
  </si>
  <si>
    <t>Duur subdisie (jr)</t>
  </si>
  <si>
    <t>2020: Borssele I+II</t>
  </si>
  <si>
    <t>Luchterduinen</t>
  </si>
  <si>
    <t>2020: Borssele III+IV</t>
  </si>
  <si>
    <t>Borssele I+II</t>
  </si>
  <si>
    <t>Borssele III+IV</t>
  </si>
  <si>
    <t>Toekomstige parken</t>
  </si>
  <si>
    <t>Voor 2013 (Amalia en Egmond)</t>
  </si>
  <si>
    <t>MW gemiddeld gebouwd per jaar in 2021-2023</t>
  </si>
  <si>
    <t>- MEP, SDE en SDE+  verplichtingen aangegaan tot eind 2012 (of vlak daarna) (Egmond, Amalia). Aanname 20% uitgegeven tussen 2013-2020. 80% in 2021-2035.</t>
  </si>
  <si>
    <t>Zie tabblad Wind</t>
  </si>
  <si>
    <t>Correctiebedrag voorlopig SDE 2017. Wordt jaarlijks door ECN vastgesteld. Er is een ondergrens gesteld om de subsidie te beperken. Minimaal is het 2/3 van de verwachte LT-energieprijs(*27, p17).</t>
  </si>
  <si>
    <t>tm 2014. Volgens FD 09/2015 is er in de afgelopen jaren 6 miljard besteed</t>
  </si>
  <si>
    <t>http://kpvvdashboard-3.blogspot.nl/2011/04/explosieve-groei-schone-voertuigen.html</t>
  </si>
  <si>
    <t xml:space="preserve">tm 2016 </t>
  </si>
  <si>
    <t>39 585</t>
  </si>
  <si>
    <t>55 826</t>
  </si>
  <si>
    <t>70 140</t>
  </si>
  <si>
    <t>90 703</t>
  </si>
  <si>
    <t>129 673</t>
  </si>
  <si>
    <t>155 938</t>
  </si>
  <si>
    <t xml:space="preserve"> 103.826 </t>
  </si>
  <si>
    <t>CBS</t>
  </si>
  <si>
    <t>RVO (ex elektrische fietsen!)</t>
  </si>
  <si>
    <t>Aantal auto's op de weg dat emissievrij kan rijden</t>
  </si>
  <si>
    <t>aantallen</t>
  </si>
  <si>
    <t>Zie ook</t>
  </si>
  <si>
    <t xml:space="preserve">In 2013 kwamen er ~24.000 elektrische auto's nieuw op de weg. (*17, p19) </t>
  </si>
  <si>
    <t>Schone voertuigen (inc fiscale maatregelen zuinige auto's algemeen tm 2014)</t>
  </si>
  <si>
    <t>http://www.energieoverheid.nl/2014/05/15/factcheck-wind-op-zee-is-duurder-geworden/</t>
  </si>
  <si>
    <t>Diverse extra geraadpleegde websites:</t>
  </si>
  <si>
    <t>(Amalia krijgt 9,7 ct subsidie gedurende 10 jaar)</t>
  </si>
  <si>
    <t>MW bouw 2013</t>
  </si>
  <si>
    <t>MW bouw 2014</t>
  </si>
  <si>
    <t>MW bouw 2015</t>
  </si>
  <si>
    <t>http://www.maritiemnederland.com/techniek-innovatie/windenergie-op-zee-worstelt-met-hoge-kosten/item1513</t>
  </si>
  <si>
    <t>mljrd kWh</t>
  </si>
  <si>
    <t>http://statline.cbs.nl/Statweb/publication/?DM=SLNL&amp;PA=82610ned&amp;D1=a&amp;D2=5&amp;D3=23-25&amp;VW=T</t>
  </si>
  <si>
    <t>MW in SDE</t>
  </si>
  <si>
    <t>http://www.polderpv.nl/nieuws_PV131.htm</t>
  </si>
  <si>
    <t>jaar</t>
  </si>
  <si>
    <t>% in SDE+</t>
  </si>
  <si>
    <t>Nog bij te bouwen voor 2020 - kleinschalig PV</t>
  </si>
  <si>
    <t>Nog bij te bouwen voor 2020 - grootschalig PV in SDE+</t>
  </si>
  <si>
    <t>*)</t>
  </si>
  <si>
    <t xml:space="preserve">Extra check: In *20 staat in 2013 1,8 PJ </t>
  </si>
  <si>
    <t>SDE+ tarief</t>
  </si>
  <si>
    <t>MW gebouwd 2016 en verder</t>
  </si>
  <si>
    <t xml:space="preserve">Doel in EA is 3000 MW in 2020. Kan meer worden door meer autonome groei. Anno 2013 staat er al 722 MW. (*2, p11) (*28).  In 2015 is er al 1515 MW opgesteld vermogen. </t>
  </si>
  <si>
    <t>Aantal vollasturen - tbv grootschalig PV (SDE+) en berekening kleinschalig PV</t>
  </si>
  <si>
    <t>uur</t>
  </si>
  <si>
    <t>(zie *20, 2015 versie, tabel 7b en CBS data bovenin sheet)</t>
  </si>
  <si>
    <t>Zie Uitgangspunten</t>
  </si>
  <si>
    <t>mljrd kWh berekend met 1000 vollasturen</t>
  </si>
  <si>
    <t>GROOTSCHALIG PV - SDE+ subsidie - installaties &gt; 15kWpiek</t>
  </si>
  <si>
    <t>PJ klein PV</t>
  </si>
  <si>
    <r>
      <t xml:space="preserve">Misgelopen transportkosten netbeheerder (*mln </t>
    </r>
    <r>
      <rPr>
        <sz val="11"/>
        <rFont val="Calibri"/>
        <family val="2"/>
      </rPr>
      <t>€)</t>
    </r>
  </si>
  <si>
    <t>2010 tm 2013 Elektriciteit uit centrale units (mlrd kWh) (Bron: CBS)</t>
  </si>
  <si>
    <t>2010 tm 2013 Elektriciteit uit AVI's  (mlrd kWh) (Bron: CBS)</t>
  </si>
  <si>
    <t>2012-2013 Overige decentrale units (mlrd kWh) (Bron: CBS)</t>
  </si>
  <si>
    <t>?</t>
  </si>
  <si>
    <t>Totaal (mlrd kWh) (Bron: CBS)</t>
  </si>
  <si>
    <t>Biomassa tbv elektriciteit (MEP en SDE toegekend tm 2010)</t>
  </si>
  <si>
    <t>Kasuitgaven SDE  toegekend 2006 tm eind 2010. Uit te geven 2008-2030 (*mln €) (*27) en (*7 Jaarbericht RVO 2013)</t>
  </si>
  <si>
    <t>REEDS TOEGEZEGD AAN SDE&amp;MEP EN RAMING KASUITGAVEN UIT DEZE EERDERE VERPLICHTINGEN</t>
  </si>
  <si>
    <t>Uit optellen van bedragen in de grafiek (onderaan opgenomen) volgt:</t>
  </si>
  <si>
    <t>Ramingen kasuitgaven MEP, SDE</t>
  </si>
  <si>
    <t>- SDE&amp;MEP tm 2012</t>
  </si>
  <si>
    <t>Verplichtingen die al zijn aangegaan tav SDE en MEP</t>
  </si>
  <si>
    <t xml:space="preserve">Oude MEP contracten lopen af. De uitgaven daaraan zijn te vinden bij tabblad "SDE&amp;MEP tm 2012". </t>
  </si>
  <si>
    <t>Hier wordt berekend de SDE+ uitgaven door nieuw toe te kennen bijstook contracten vanaf 2013.</t>
  </si>
  <si>
    <t>De MEP en SDE subsidies voor bovenstaande productie worden vervangen door SDE+ subsidies zoals rechts weergegeven.</t>
  </si>
  <si>
    <t>Looptijd - jr</t>
  </si>
  <si>
    <t>gestelde doel -/- centrale opwek</t>
  </si>
  <si>
    <t>2015 (*19)</t>
  </si>
  <si>
    <t>Basisbedrag SDE+ voor warmte uit biomassa - nog toe te kennen en uit te geven -  gemiddeld over 2013-2035</t>
  </si>
  <si>
    <t>2014 (*6)</t>
  </si>
  <si>
    <t>2015 (*6)</t>
  </si>
  <si>
    <t>Brochure SDE+ 2014</t>
  </si>
  <si>
    <t>(*6) Brochure SDE+ 2015</t>
  </si>
  <si>
    <t>uur  (*6)</t>
  </si>
  <si>
    <t>Vollasturen bij SDE tarief (*6)</t>
  </si>
  <si>
    <t xml:space="preserve">(*5) www.geminiwindpark.nl </t>
  </si>
  <si>
    <t>Artikel energieoverheid.nl      Gemini 16,9 ct/kWh</t>
  </si>
  <si>
    <t>2017: Gemini- buitengaats +zee-energie samen(ten noorden wadden) (*5)</t>
  </si>
  <si>
    <t xml:space="preserve">Gemini </t>
  </si>
  <si>
    <t>SDE+ tarief - bij en meestook - centrale units (*6) en (*19)</t>
  </si>
  <si>
    <t>Deze 23,5 PJ is blijkbaar bereikt zonder (extra) subsidie, want bij de MEP&amp;SDE  tm 2012 worden hier geen bedragen voor genoemd.</t>
  </si>
  <si>
    <t>Energiegebruik tgv schoon en zuinig vervoer PJ (NEV *20)</t>
  </si>
  <si>
    <t>&lt; in 2020</t>
  </si>
  <si>
    <t>-  EIA (Energie Investeringsaftrek) en Innovatie en demonstratieprogramma (SDE) Topsectoren (2014-2020). Aanname: totaalbudget EIA en Topsectoren blijft 150mln per jaar in periode 2003-2020 (18jr). 150 mln was in 2011-2013 ook het totaal EIA budget. (NB: In Miljoenennota 2014 staat dat er voor Energie Innovatie structureel 50 mln vrij wordt gemaakt)</t>
  </si>
  <si>
    <t>(*1, p115 en p57)+(*10). (*1, p57)  Vanaf 2014 kunnen projecten die een SDE+ subsidie aanvragen niet meer in aanmerking komen voor de EIA.(*6)</t>
  </si>
  <si>
    <t>2016 is een voorlopig getal</t>
  </si>
  <si>
    <t>Brochure SDE+ 2016</t>
  </si>
  <si>
    <t>vollasturen per 2016 uit windrapport</t>
  </si>
  <si>
    <t>MW bouw 2016</t>
  </si>
  <si>
    <t>MW windturbines va 2017</t>
  </si>
  <si>
    <t>Max vollasturen in 2015 afgeschaft. (Voorheen max 1960 tot 2800 vollasturen toegestaan afhankelijk van SDE tarief. )</t>
  </si>
  <si>
    <t>SDE tarief gemiddeld in dat jaar, met aanname dat jaar van toekenning = bouwjaar.  (*6)</t>
  </si>
  <si>
    <t xml:space="preserve">WIND OP LAND: Subsidie in de vorm van SDE+ </t>
  </si>
  <si>
    <t xml:space="preserve">WIND OP ZEE : Subsidie in de vorm van SDE+ </t>
  </si>
  <si>
    <t>SDE+ tarief Gemini inclusief 'stopcontact op zee' van ~1,4 mlrd</t>
  </si>
  <si>
    <t>ZON-elektrisch (PV): Subsidie in de vorm van SDE+ en vermeden energiebelasting</t>
  </si>
  <si>
    <t>In onderstaande tabel en grafiek allereerst een overzicht van hoeveel vermogen aan PV panelen er al is gerealiseerd bij particulieren en grootschalig bij bedrijven.</t>
  </si>
  <si>
    <t>*) de 1000 vollasturen worden dus gemiddeld niet gehaald want berekende waarden zijn hoger dan CBS data in tabel bovenaan tabblad</t>
  </si>
  <si>
    <t>Aantal vollasturen - werkelijk (zie onderstaande toelichting)</t>
  </si>
  <si>
    <t>uitgaven tm 2020 (uit MEP ed, toegekend tm 2012)</t>
  </si>
  <si>
    <t>uitgaven na 2020 (MEP ed, toegekend tm 2012)</t>
  </si>
  <si>
    <t xml:space="preserve">uitgaven tm 2020 - SDE+ toegekend va 2013 </t>
  </si>
  <si>
    <t xml:space="preserve"> uitgaven na 2020 - SDE+ toegekend va 2013</t>
  </si>
  <si>
    <t>exploitatiesubsidie (oude MEP ed, toegekend tm 2012)</t>
  </si>
  <si>
    <t>exploitatiesubsidie toegekend va 2013</t>
  </si>
  <si>
    <t>exploitatiesubsidie (oude MEP ed, toegekend tm 2012) - vooral afvalverbranding en vergisting</t>
  </si>
  <si>
    <t>exploitatiesubsidie toegekend va 2013 - bij- en meestook en  afvalverbranding, bio-wkk etc.</t>
  </si>
  <si>
    <t>Totaal SDE+ toegekend va 2013. Wordt uitbetaald in 2013-2020</t>
  </si>
  <si>
    <t>Totaal SDE+ toegekend va 2013. Wordt uitbetaald in 2021-2035</t>
  </si>
  <si>
    <t>Waarvan MEP/SDE/SDE+ (2003-2035) inc stopcontact op zee</t>
  </si>
  <si>
    <t>Waarvan al uitgegeven tm 2015</t>
  </si>
  <si>
    <t>deels, zie onder</t>
  </si>
  <si>
    <t>Deel van toegekende SDE+ projecten dat ook echt wordt gerealiseerd</t>
  </si>
  <si>
    <t>Werkelijke SDE+  uitgaven van deel dat is toegekend maar nog niet is gerealiseerd</t>
  </si>
  <si>
    <t>TOTAAL al uitgegeven of toegekend (deel dat ook gerealiseerd wordt) per 2016</t>
  </si>
  <si>
    <t>WoZ tm Borssele I tmIV</t>
  </si>
  <si>
    <t xml:space="preserve">SDE+ verplichtingen 2012-2016 (zie ingevoegde tabel rechts) </t>
  </si>
  <si>
    <r>
      <t xml:space="preserve">Deel van de </t>
    </r>
    <r>
      <rPr>
        <u/>
        <sz val="12"/>
        <rFont val="Calibri"/>
        <family val="2"/>
        <scheme val="minor"/>
      </rPr>
      <t>nieuwe</t>
    </r>
    <r>
      <rPr>
        <sz val="12"/>
        <rFont val="Calibri"/>
        <family val="2"/>
        <scheme val="minor"/>
      </rPr>
      <t xml:space="preserve"> te plaatsen PV-panelen die valt onder &gt; 15kWp installaties (en dus valt binnen de SDE+)</t>
    </r>
  </si>
  <si>
    <t>NB: Uitgaven aan laadpunten niet opgenomen opgenomen in tabblad Lijst maatregelen EA</t>
  </si>
  <si>
    <t xml:space="preserve">Zie (*6) voor allerlei mogelijke SDE+ tarieven. </t>
  </si>
  <si>
    <t>Groei in 2020 naar (&gt;25 PJ)</t>
  </si>
  <si>
    <t>Doel in EA is maximaal 25 PJ per jaar voor bijstook in kolencentrales. (Zie ook *20, tabel A.7) Hier komt bij bio-wkk oa bij waterzuiveringen (doel in EA 4PJ/jaar), fabrieken, afvalverbrandingsinstallaties etc.  Uit NEV (*20, tabel A.13) overgenomen doel van 39,1PJ elektra uit biomassa in 2020.</t>
  </si>
  <si>
    <t>Totaal (PJ)</t>
  </si>
  <si>
    <t>0?</t>
  </si>
  <si>
    <t>In 2015 veel meer in AVI's vlgns NEV 2016, nl 5,6 mlrd kWh maar hier zit ook warmte bij in.</t>
  </si>
  <si>
    <r>
      <t xml:space="preserve">Huidige </t>
    </r>
    <r>
      <rPr>
        <sz val="11"/>
        <color rgb="FF7030A0"/>
        <rFont val="Calibri"/>
        <family val="2"/>
        <scheme val="minor"/>
      </rPr>
      <t>2016</t>
    </r>
    <r>
      <rPr>
        <sz val="11"/>
        <rFont val="Calibri"/>
        <family val="2"/>
        <scheme val="minor"/>
      </rPr>
      <t xml:space="preserve"> hoeveelheid warmte uit houtkachels</t>
    </r>
  </si>
  <si>
    <t>(*20 tabel A7)</t>
  </si>
  <si>
    <t>Er gelden geen subsidies, maar is belangrijk aandeel in duurzame energieopwekking en er wordt autonome groei verwacht volgens NEV. Anno 2016 is het 18,6 PJ/jaar. Zie NEV (*20, tabel A7.) In 2020 wordt het 18,8PJ</t>
  </si>
  <si>
    <r>
      <t xml:space="preserve">Zie (*6) . Er zijn allerlei uiteenlopende tarieven vastgesteld in de SDE  voor allerlei soorten toepassingen. Bedragen van 6 €/GJ tot 40 </t>
    </r>
    <r>
      <rPr>
        <sz val="12"/>
        <rFont val="Calibri"/>
        <family val="2"/>
      </rPr>
      <t xml:space="preserve">€/GJ. (Ofwel 0,021€/kWh - 0,14€/kWh) De uitgaven aan biomassa - warmte zijn tot 2015 relatief laag geweest, en daarna gestegen (*7). Ook bijvoorbeeld warmtebenutting vanuit AVI's hoort hier bij. </t>
    </r>
  </si>
  <si>
    <t xml:space="preserve">Doel is 142,4PJ per jaar (*20, tabel A.7). Hier vanafhalen houtstook bij particlieren, biobrandstoffen voor vervoer, en biomassa tbv elektra. Is anno 2013 23,5PJ/jaar volgens NEV 2015 (er staat 35,5PJ/jaar maar dit is inclusief 12PJ/jaar houtstook bij particulieren.)  </t>
  </si>
  <si>
    <t>auto's per jaar</t>
  </si>
  <si>
    <t>ntb</t>
  </si>
  <si>
    <t>Aantal zuinige auto's fiscaal gestimuleerd</t>
  </si>
  <si>
    <t>(*18) NB: Inclusief fiscale voordelen zuinige auto's algemeen.</t>
  </si>
  <si>
    <t xml:space="preserve">In de NEV (*20 van 2015, p96) staat dat er 200.000 emissievrije auto's  verwacht worden in 2020. Eind 2016 waren het er 115.223 (NB ex elektrische fietsen ed). Dat betekent dat er nog ca 21.000 nieuwe voertuigen per jaar bij moeten komen die emissievrij kunnen rijden. (*1 pag 101, par 9.3 punt 2 Zero Emissie) Uiteindelijk moeten in 2035 alle nieuw verkochte personen auto's (~400.000 stuks per jaar) CO2 emissievrij kunnen rijden. </t>
  </si>
  <si>
    <t>Energieinfrastructuur -  extra uitgaven tbv energieakkoord tm 2020 (bijv. biogas in distributienet, landennetten aan elkaar knopen, uitrol slimme meters, smart grids)  NB: Uitgaven 'stopcontact op zee' vallen hier niet onder. Die zijn apart opgenomen in deze lijst met uitgangspunten.</t>
  </si>
  <si>
    <t>Uitgaven aan systeem elektriciteitsnet (ex stopcontact op zee)</t>
  </si>
  <si>
    <t>per MWh opgewekt</t>
  </si>
  <si>
    <t>mljrd kWh opgewekt WoZ+WoL</t>
  </si>
  <si>
    <t>SYSTEEMKOSTEN - Netverzwaring, opslag etc.</t>
  </si>
  <si>
    <t>per MWh windelektra opgewekt</t>
  </si>
  <si>
    <t>mln - uitgesmeerd over een aantal jaar</t>
  </si>
  <si>
    <t>- Deel van toegekende SDE+ projecten dat wordt gerealiseerd. Dit percentage heeft alleen invloed op het 'Reeds uitgegeven uitgaven' zoals vermeld in de Samenvatting.</t>
  </si>
  <si>
    <t>Basisbedrag SDE + Wind op Land  - gemiddeld voor nog toe te kennen projecten in 2017-2020. SDE+ tarief over voorgaande jaren is opgenomen in tabblad 'Wind'</t>
  </si>
  <si>
    <r>
      <t xml:space="preserve">Zie SDE+ brochure 2017. Varieert volgens initiele publicaties van regering van €0,1125 tot </t>
    </r>
    <r>
      <rPr>
        <sz val="12"/>
        <rFont val="Calibri"/>
        <family val="2"/>
      </rPr>
      <t>€</t>
    </r>
    <r>
      <rPr>
        <sz val="12"/>
        <rFont val="Calibri"/>
        <family val="2"/>
        <scheme val="minor"/>
      </rPr>
      <t>0,0875 per kWh maar het minimumtarief  is daar onder gezakt bij de SDE+ 2017</t>
    </r>
  </si>
  <si>
    <r>
      <t>Aantal vollasturen (voor subsidie en CO</t>
    </r>
    <r>
      <rPr>
        <vertAlign val="subscript"/>
        <sz val="12"/>
        <rFont val="Calibri"/>
        <family val="2"/>
        <scheme val="minor"/>
      </rPr>
      <t>2</t>
    </r>
    <r>
      <rPr>
        <sz val="12"/>
        <rFont val="Calibri"/>
        <family val="2"/>
        <scheme val="minor"/>
      </rPr>
      <t xml:space="preserve"> reductieberekening hier gelijk) vanaf 2017. Vollasturen voor SDE+ in voorgaande jaren is opgenomen in tabblad 'Wind'</t>
    </r>
  </si>
  <si>
    <t xml:space="preserve">Doel in EA is 6.000 MW in 2020. Eind 2016 was het opgesteld vermogen op land 3.856 MW dus lager invullen kan niet (*35) </t>
  </si>
  <si>
    <r>
      <t xml:space="preserve">Basisbedrag SDE+ Wind op Zee - gemiddeld voor nog toe te kennen projecten in 2017-2020 (dus alles ná Borssele  I tm IV ) - </t>
    </r>
    <r>
      <rPr>
        <u/>
        <sz val="12"/>
        <rFont val="Calibri"/>
        <family val="2"/>
        <scheme val="minor"/>
      </rPr>
      <t xml:space="preserve">exclusief </t>
    </r>
    <r>
      <rPr>
        <sz val="12"/>
        <rFont val="Calibri"/>
        <family val="2"/>
        <scheme val="minor"/>
      </rPr>
      <t>uitgaven aan het 'stopcontact op zee'. SDE+ tarief voor al toegekende projecten is opgenomen in tabblad 'Wind'</t>
    </r>
  </si>
  <si>
    <r>
      <t xml:space="preserve">Varieert volgens initiele publicaties van regering in 2015 van €0,1875 tot </t>
    </r>
    <r>
      <rPr>
        <sz val="12"/>
        <rFont val="Calibri"/>
        <family val="2"/>
      </rPr>
      <t>€</t>
    </r>
    <r>
      <rPr>
        <sz val="12"/>
        <rFont val="Calibri"/>
        <family val="2"/>
        <scheme val="minor"/>
      </rPr>
      <t xml:space="preserve">0,0875. Taakstelling is max gemiddeld </t>
    </r>
    <r>
      <rPr>
        <sz val="12"/>
        <rFont val="Calibri"/>
        <family val="2"/>
      </rPr>
      <t>€</t>
    </r>
    <r>
      <rPr>
        <sz val="12"/>
        <rFont val="Calibri"/>
        <family val="2"/>
        <scheme val="minor"/>
      </rPr>
      <t xml:space="preserve">0,15/kWh in 2014 (inc stopcontact- op-zee uitgaven) en een daling van </t>
    </r>
    <r>
      <rPr>
        <sz val="12"/>
        <rFont val="Calibri"/>
        <family val="2"/>
      </rPr>
      <t>€</t>
    </r>
    <r>
      <rPr>
        <sz val="12"/>
        <rFont val="Calibri"/>
        <family val="2"/>
        <scheme val="minor"/>
      </rPr>
      <t xml:space="preserve">0,005/kWh per jaar. Voor Borssele I en II was het €0,07/kWh en voor Borssele III en IV was het €0,05/kWh. </t>
    </r>
  </si>
  <si>
    <t xml:space="preserve">Doel in EA is 4.450 MW in 2023. Voor 2.338 MW is al subsidie toegekend tm 2016. </t>
  </si>
  <si>
    <t>Uitgaven  'stopcontact op zee' voor Borssele windpark</t>
  </si>
  <si>
    <t>Basisbedrag SDE+ Zon PV voor installatie &gt; 15kWp (voor kleinere geldt SDE+ niet) - gemiddeld voor nog toe te kennen projecten in 2017-2020. SDE+ tarief voor al toegekende projecten is opgenomen in tabblad 'PV'</t>
  </si>
  <si>
    <t>Rest zijn kleine installaties die niet in aanmerking komen voor SDE+. Daarvoor is de salderingsregeling (energiebelastingvoordeel). In 2015 was 12% van het totaal &gt;15kWp installaties.</t>
  </si>
  <si>
    <t>Doelstelling, per 2020 elektra uit biomassa - inclusief 25PJ in centrales, inclusief AVI's, inclusief bio-wkk's etc. (Aangenomen dat alle elektra-opwek uit biomassa wordt gesubsidieerd via SDE+)</t>
  </si>
  <si>
    <r>
      <t xml:space="preserve">Doelstelling, per 2020 warmte uit biomassa. (Aangenomen dat al deze warmte uit biomassa  wordt gesubsidieerd via SDE+) - </t>
    </r>
    <r>
      <rPr>
        <u/>
        <sz val="12"/>
        <rFont val="Calibri"/>
        <family val="2"/>
        <scheme val="minor"/>
      </rPr>
      <t>exclusief</t>
    </r>
    <r>
      <rPr>
        <sz val="12"/>
        <rFont val="Calibri"/>
        <family val="2"/>
        <scheme val="minor"/>
      </rPr>
      <t xml:space="preserve"> biomassa stook bij particulieren en warmte uit biobrandstoffen vervoer. Dit is apart opgenomen.</t>
    </r>
  </si>
  <si>
    <t>Aantal verkochte auto's dat wordt gesubsidieerd om emissievrij te kunnen rijden - gemiddeld 2017 tm 2020.  Aantallen tm 2016 opgenomen in tabblad 'Vervoer'.</t>
  </si>
  <si>
    <r>
      <t xml:space="preserve">Volgens (*23) is het </t>
    </r>
    <r>
      <rPr>
        <sz val="12"/>
        <rFont val="Calibri"/>
        <family val="2"/>
      </rPr>
      <t>€</t>
    </r>
    <r>
      <rPr>
        <sz val="12"/>
        <rFont val="Calibri"/>
        <family val="2"/>
        <scheme val="minor"/>
      </rPr>
      <t>10 per MWh windelektra tot 15% wind in de brandstoffenmix. Wordt bij een aandeel van 15-25% 20-30 € en bij meer dan 25% wellicht meer dan 45 €. Verbruik elektra in NL is ca. 120 mln MWh/jr.  In 2016 wordt 4,2 mln MWh windelektra geproduceerd, dus kosten 105 mln Euro. In 2020 wordt het 450 mln Euro per jaar. Etc.</t>
    </r>
  </si>
  <si>
    <r>
      <t>- Voor</t>
    </r>
    <r>
      <rPr>
        <i/>
        <sz val="12"/>
        <rFont val="Calibri"/>
        <family val="2"/>
        <scheme val="minor"/>
      </rPr>
      <t xml:space="preserve"> carbon leakage-bedrijven</t>
    </r>
    <r>
      <rPr>
        <sz val="12"/>
        <rFont val="Calibri"/>
        <family val="2"/>
        <scheme val="minor"/>
      </rPr>
      <t xml:space="preserve"> (dwz bedrijven die door het betalen van emissierechten een zodanig slechte concurrentiepositie hebben dat ze de productie verplaatsen naar landen buiten de EU) die deelnemen aan een convenant ter bevordering van energie-efficiëntie, compensatie van indirecte uitgaven als gevolg van ETS. Mochten de indirecte uitgaven in het ene jaar eventueel lager uitvallen dan dit maximum, dan blijft het verschil beschikbaar voor een eventueel hogere uitgaven in het andere jaar.</t>
    </r>
  </si>
  <si>
    <t xml:space="preserve">- Er zijn omwille van het overzicht enkele vereenvoudigingen toegepast. Zo lijkt het aannemelijk dat het SDE+ tarief voor wind op zee geleidelijk zal dalen in de komende jaren. In deze excel wordt gewerkt met een gemiddeld tarief over de periode vanaf 2015 of 2016 tm 2020 dat naar keuze hoog of laag kan worden ingevuld. </t>
  </si>
  <si>
    <t>- Stopcontact op zee, inc transformatorplatforms (voor windparken gebouwd ná Gemini)</t>
  </si>
  <si>
    <t xml:space="preserve">Brief van Minister Kamp januari 2013 (*33)  -  Hierin zijn de uitgaven aan SDE/MEP/SDE+ en 200mln aan overige verwachte uitgaven opgenomen voor de periode 2013 t/m 2020. </t>
  </si>
  <si>
    <t>Dus nog extra nodig na 2016:</t>
  </si>
  <si>
    <t>Restant gerealiseerd in 4 jaar dus:</t>
  </si>
  <si>
    <t>Basisbedrag Wind op Land &lt;6MW (va 2016 toegekend)</t>
  </si>
  <si>
    <r>
      <t xml:space="preserve">SDE </t>
    </r>
    <r>
      <rPr>
        <i/>
        <sz val="11"/>
        <rFont val="Calibri"/>
        <family val="2"/>
        <scheme val="minor"/>
      </rPr>
      <t>basisbedrag</t>
    </r>
    <r>
      <rPr>
        <sz val="11"/>
        <rFont val="Calibri"/>
        <family val="2"/>
        <scheme val="minor"/>
      </rPr>
      <t xml:space="preserve"> in jaar van toekenning</t>
    </r>
  </si>
  <si>
    <t>Restant gerealiseerd in 3 jaar dus:</t>
  </si>
  <si>
    <t>Basisbedrag Wind op Zee (va 2017 toegekend)</t>
  </si>
  <si>
    <r>
      <t xml:space="preserve">Systeemkosten (mln </t>
    </r>
    <r>
      <rPr>
        <sz val="11"/>
        <rFont val="Calibri"/>
        <family val="2"/>
      </rPr>
      <t>€)</t>
    </r>
  </si>
  <si>
    <t>Opgesteld zonPV in 2015 - kleinschalig PV</t>
  </si>
  <si>
    <t>Opgesteld zonPV in 2015 - grootschalig PV in SDE+</t>
  </si>
  <si>
    <t>Groei per jaar 2016  t/m 2020 in 5 jaar</t>
  </si>
  <si>
    <r>
      <t>Tarief energie-belasting op elektra (</t>
    </r>
    <r>
      <rPr>
        <sz val="11"/>
        <rFont val="Calibri"/>
        <family val="2"/>
      </rPr>
      <t>€</t>
    </r>
    <r>
      <rPr>
        <sz val="8.8000000000000007"/>
        <rFont val="Calibri"/>
        <family val="2"/>
      </rPr>
      <t>/kWh)</t>
    </r>
  </si>
  <si>
    <t>Wind op Zee, onderbouwing toekende subsidies tm 2006</t>
  </si>
  <si>
    <r>
      <t xml:space="preserve">De </t>
    </r>
    <r>
      <rPr>
        <b/>
        <sz val="12"/>
        <color theme="1"/>
        <rFont val="Calibri"/>
        <family val="2"/>
        <scheme val="minor"/>
      </rPr>
      <t>ambitie</t>
    </r>
    <r>
      <rPr>
        <sz val="12"/>
        <color theme="1"/>
        <rFont val="Calibri"/>
        <family val="2"/>
        <scheme val="minor"/>
      </rPr>
      <t xml:space="preserve"> van het energieakkoord is om de volgende energiedoelen te realiseren: 
     - 100 PJ aan energiebesparing per 2020 (ten opzichte van 2013) in een tempo van 1,5 procent energiebesparing per jaar
     - een toename van het aandeel van hernieuwbare energieopwekking naar 14 procent in 2020  (was 4,5 procent in 2013) 
     - een verdere stijging van dit aandeel naar 16 procent in 2023. </t>
    </r>
  </si>
  <si>
    <r>
      <t>Het model is dusdanig opgezet dat de gebruiker de vrijheid heeft om een aantal belangrijke uitgangspunten (zie tabblad 'Uitgangspunten') aan te passen conform zijn eigen inzichten cq. verwachtingen. Het gaat hierbij bijvoorbeeld om de te realiseren MegaWatts (MW) aan windturbines of PV panelen of andere opwektechnologie, SDE+ subsidietarieven, CO</t>
    </r>
    <r>
      <rPr>
        <vertAlign val="subscript"/>
        <sz val="12"/>
        <color theme="1"/>
        <rFont val="Calibri"/>
        <family val="2"/>
        <scheme val="minor"/>
      </rPr>
      <t>2-</t>
    </r>
    <r>
      <rPr>
        <sz val="12"/>
        <color theme="1"/>
        <rFont val="Calibri"/>
        <family val="2"/>
        <scheme val="minor"/>
      </rPr>
      <t>reductie per maatregel en toekomstige uitgaven per percentage duurzame energie. De doelstellingen zoals gegeven in het EnergieAkkoord zijn bij voorbaat ingevuld, maar ook van andere doelstellingen kan het effect op de uitgaven en opbrengsten worden bekeken.</t>
    </r>
  </si>
  <si>
    <t>TOTAAL OF GEMIDDELD</t>
  </si>
  <si>
    <t>De uitgaven worden gedaan uit energiebelasting, ander belastinggeld, verhoogde energieprijzen, vastrecht en via een heffing op de energierekening bij particulieren en bedrijven (ODE (Opslag Duurzame Energie)). Uitgaven is ook misgelopen rijksinkomsten (i.e. fiscale voordelen auto's en niet ontvangen energiebelasting)</t>
  </si>
  <si>
    <t>Aanname is hier dat de besparing volledig voor rekening komt van besparing in aardgasgebruik. Ook die bij verkeer en vervoer.</t>
  </si>
  <si>
    <t>Is geen onderscheid gemaakt tussen gas, benzine, diesel, kolen en bijbehorende belastingen. Alles is herleid naar aardgasbesparing en de belastingen daarop.</t>
  </si>
  <si>
    <t xml:space="preserve">  - ‘Indirecte’ uitgaven (ook wel geëxternaliseerde kosten genoemd) zijn niet meegerekend (zoals landschapsaantasting, klimaatuitgaven door CO2 stijging in de atmosfeer en gezondheidszorg).</t>
  </si>
  <si>
    <t>Energiebelasting elektra particulier. Deze wordt niet betaald bij eigen opgewekte elektriciteit en bepaalt dus de kosten van 'saldering'. Gemiddeld in 2017 - 2035. Energiebelasting op elektriciteit in voorgaande jaren is opgenomen in het tabblad PV.</t>
  </si>
  <si>
    <t>Uitgaven aan systeem electriciteitsnet. Het grootste deel van die uitgaven zit in de netten of netverzwaring die nodig zijn, een ander deel in de back-up capaciteit die aanwezig moet zijn als het niet waait of de zon niet schijnt. NB: Uitgaven 'stopcontact op zee' vallen hier niet onder. Die zijn apart opgenomen in deze lijst met uitgangspunten.</t>
  </si>
  <si>
    <t>Doel EA, zoals door u ingevuld bij 'Uitgangspunten' (MW)</t>
  </si>
  <si>
    <r>
      <t>Uitgaven volgens dit model (*mln</t>
    </r>
    <r>
      <rPr>
        <sz val="12"/>
        <color theme="1"/>
        <rFont val="Calibri"/>
        <family val="2"/>
      </rPr>
      <t>)</t>
    </r>
  </si>
  <si>
    <t>Haalbaar doel vlgns Alg Rekenkamer waarmee zij ook rekenen (MW)</t>
  </si>
  <si>
    <r>
      <rPr>
        <b/>
        <u/>
        <sz val="12"/>
        <rFont val="Calibri"/>
        <family val="2"/>
        <scheme val="minor"/>
      </rPr>
      <t>Toename</t>
    </r>
    <r>
      <rPr>
        <b/>
        <sz val="12"/>
        <rFont val="Calibri"/>
        <family val="2"/>
        <scheme val="minor"/>
      </rPr>
      <t xml:space="preserve"> </t>
    </r>
    <r>
      <rPr>
        <sz val="12"/>
        <rFont val="Calibri"/>
        <family val="2"/>
        <scheme val="minor"/>
      </rPr>
      <t xml:space="preserve"> (per 2020) ten gevolge van gegeven subsidies EA (PJ)</t>
    </r>
  </si>
  <si>
    <t xml:space="preserve">Totaal uit dit model per 2020 (PJ) </t>
  </si>
  <si>
    <t>Totaal uit dit model per 2023 (PJ)</t>
  </si>
  <si>
    <t>Nieuw aandeel hernieuwbaar per 2020</t>
  </si>
  <si>
    <t>Nieuw aandeel hernieuwbaar per 2023</t>
  </si>
  <si>
    <t xml:space="preserve">Algemene Rekenkamer 2015 (*27,28) met vastgesteld + voorgenomen beleid 2020 (PJ)  </t>
  </si>
  <si>
    <t xml:space="preserve">NEV (*20) </t>
  </si>
  <si>
    <t>In dit model inc. WoZ per 2023</t>
  </si>
  <si>
    <t>LET OP: De Algemene Rekenkamer rekent met lagere doelen voor Windenergie dan die in het EA genoemd. De Algemene Rekenkamer neemt daarnaast de uitgaven aan schoon vervoer, vermeden energiebelasting en uitbreiding van het energienetwerk/infra niet mee. Dus dit overzicht is zonder deze uitgaven aan beide kanten.</t>
  </si>
  <si>
    <t>Bij de getallen van de Algemene Rekenkamer en van de NEV gaat het, net als in dit model, om de werkelijke productie (dus niet om de productie waarmee gerekend wordt om de subsidie vast te stellen)</t>
  </si>
  <si>
    <t>- Ontwikkelingssubsidie Gemini bij Schiermonnikoog (600MW). Er hebben 100 ingenieurs 4 jaar lang aan gewerkt in de voorbereiding (~60mln).</t>
  </si>
  <si>
    <t>Omdat het exacte bedrag lastig te duiden is heeft u bij uitgangspunten een bedrag kunnen aannemen.</t>
  </si>
  <si>
    <t>Topsector energie - innovatie en demonstratie (EA p. 115) (budget gaat in mindering op de EIA)</t>
  </si>
  <si>
    <t>- Energie Investerings Aftrek (fiscale stimulering bij aanschaf energiebesparende bedrijfsmiddelen) en Topsectoren Energie 2013-2035 - ten gevolge van het EnergieAkkoord.</t>
  </si>
  <si>
    <t>Er worden in Nederland op allerlei vlakken subsidies gegeven voor innovatie via bijvoorbeeld de WBSO, maar deze zijn niet direct gekoppeld aan het EnergieAkkoord. Veel van de uitgaven gaan via agentschappen, RVO,  RWS, KNMI, NEa etc. Ook instituten als ECN en TNO ontvangen geld voor innovatie.</t>
  </si>
  <si>
    <t>innovatiestimulering</t>
  </si>
  <si>
    <t>Fiscale subsidie inc VAMIL, MIA, BPM vrijstelling etc.</t>
  </si>
  <si>
    <r>
      <t xml:space="preserve">UITGAVEN 2003-2012 (10jr) + 2013-2020 (8jr)  (*mln </t>
    </r>
    <r>
      <rPr>
        <b/>
        <sz val="14"/>
        <color theme="1"/>
        <rFont val="Calibri"/>
        <family val="2"/>
      </rPr>
      <t>€</t>
    </r>
    <r>
      <rPr>
        <b/>
        <sz val="14"/>
        <color theme="1"/>
        <rFont val="Calibri"/>
        <family val="2"/>
        <scheme val="minor"/>
      </rPr>
      <t>)</t>
    </r>
  </si>
  <si>
    <t xml:space="preserve">Daarnaast zijn er nog specifieke innovatiebudgetten. Zie onder enkele voorbeelden. </t>
  </si>
  <si>
    <t xml:space="preserve">Waarvan al uitgeven of toegekend per eind 2016 (excl SDE+) </t>
  </si>
  <si>
    <t>technologie ontwikkeling (o.a. Wind)</t>
  </si>
  <si>
    <t>Totaal aan subsidie per auto die emissievrij kan rijden over de gehele levensduur  (incl. BPM vrijstelling, BTW vrijstelling, VAMIL, MIA, minder bijtelling, regionale/stedelijke subsidies etc). Gemiddeld 2016-2020</t>
  </si>
  <si>
    <t>Fiscale voordelen voor zuinige auto's (niet emissievrij) - Uitgaven zijn tm 2016 wel opgenomen. Na 2016 nog niet opgenomen.</t>
  </si>
  <si>
    <t>Zie tabblad 'Innovatiesubsidies' voor een aantal voorbeelden</t>
  </si>
  <si>
    <t>- Innovatiestimulering - ten gevolge van het EnergieAkkoord 2013 - 2020</t>
  </si>
  <si>
    <t>-  Innovatie 2013-2020</t>
  </si>
  <si>
    <t>RESULTATEN VAN DIT MODEL (WERKELIJKE PRODUKTIE, DWZ NIET DE PRODUKTIE DIE TELT VOOR DE SUBSIDIE)</t>
  </si>
  <si>
    <t>Totaal - SDE/MEP/SDE+ (2003-2035) inc stopcontact op zee</t>
  </si>
  <si>
    <t>(*39) Verantwoordingsonderzoek rekenkamer 'hoge belastinguitgaven voor tegenvallende milieuwinst zuinige auto’s</t>
  </si>
  <si>
    <t>Reeds uitgegeven of reeds toegekende uitgaven:</t>
  </si>
  <si>
    <t>Nog toe te kennen en uit te geven na 2016</t>
  </si>
  <si>
    <t>Energienetwerk uitbreiden (incl. stopcontact op zee, energieopslag, netverzwaring, vervroegd afschrijven fossiele centrales)</t>
  </si>
  <si>
    <t>mlrjd kWh productie in SDE + - Centrale bij- en meestook (*20)</t>
  </si>
  <si>
    <t>PJ productie in SDE + - Centrale bij- en meestook (*20)</t>
  </si>
  <si>
    <t>PJ productie in SDE + - AVI's en overige biomassa tbv elektriciteit</t>
  </si>
  <si>
    <r>
      <t xml:space="preserve">TOTAAL SDE+ in mln </t>
    </r>
    <r>
      <rPr>
        <b/>
        <sz val="11"/>
        <rFont val="Calibri"/>
        <family val="2"/>
      </rPr>
      <t>€</t>
    </r>
    <r>
      <rPr>
        <b/>
        <sz val="11"/>
        <rFont val="Calibri"/>
        <family val="2"/>
        <scheme val="minor"/>
      </rPr>
      <t>/jaar</t>
    </r>
  </si>
  <si>
    <t xml:space="preserve">Zie (*13). Anno 2017 is de totale energiebelasting 10,13 ct/kWh. </t>
  </si>
  <si>
    <t>SDE+ nog toe te kennen en uit te geven -  gemiddeld over 2017-2035  (HIER DIENT U, ANDERS DAN HIER ONDER, HET VERSCHIL TUSSEN BASISBEDRAG EN CORRECTIEBEDRAG IN TE VULLEN). NB: Varieren van dit getal heeft geen effect op het resultaat van dit model omdat in het EA geen doelstelling voor waterkracht is opgenomen.</t>
  </si>
  <si>
    <t>Aangenomen aandeel per % duurzaam vanaf 2020</t>
  </si>
  <si>
    <t>€mljn/%</t>
  </si>
  <si>
    <t>€mljn</t>
  </si>
  <si>
    <t>- Meetellen belastingderving als gevolg van energiebesparing</t>
  </si>
  <si>
    <t>Niet vergoede curtailment waterkracht, wind en grootschalig PV. Dit is beschikbare energie die niet benut kan worden omdat ze opgewekt wordt op een moment dat er geen vraag naar is.</t>
  </si>
  <si>
    <r>
      <t>Wordt gebruikt bij berekening bereikte CO</t>
    </r>
    <r>
      <rPr>
        <vertAlign val="subscript"/>
        <sz val="12"/>
        <rFont val="Calibri"/>
        <family val="2"/>
        <scheme val="minor"/>
      </rPr>
      <t>2</t>
    </r>
    <r>
      <rPr>
        <sz val="12"/>
        <rFont val="Calibri"/>
        <family val="2"/>
        <scheme val="minor"/>
      </rPr>
      <t xml:space="preserve"> reductie. Er is niet veel over bekend maar enig verlies lijkt aannemelijk. Zie ook (*29) en (* 36) pag 31. Leidt tot kostendaling door minder geleverde en dus minder gesubsidieerde stroom</t>
    </r>
  </si>
  <si>
    <t>Uitgaven per % duurzaam niveau 2017 (incl Curtailment)</t>
  </si>
  <si>
    <t>Berekening tbv kosten in de toekomst:</t>
  </si>
  <si>
    <t>Biodiesel</t>
  </si>
  <si>
    <t>% (ltr)</t>
  </si>
  <si>
    <t>energie-inhoud</t>
  </si>
  <si>
    <t>dichtheid</t>
  </si>
  <si>
    <t>€/ltr</t>
  </si>
  <si>
    <t>groot industrieel
verbruik</t>
  </si>
  <si>
    <t>klein industrieel
verbruik</t>
  </si>
  <si>
    <t>Energiebelasting gas (vereenvoudigde staffel) per m3</t>
  </si>
  <si>
    <t>Gewogen kosten per % duurzaam (2017 basis)</t>
  </si>
  <si>
    <t>wel/niet meerekenen</t>
  </si>
  <si>
    <t>100% = volledig meetellen belasting derving</t>
  </si>
  <si>
    <r>
      <t xml:space="preserve">uitgaven per ton CO2 reductie </t>
    </r>
    <r>
      <rPr>
        <sz val="10.8"/>
        <color theme="1"/>
        <rFont val="Calibri"/>
        <family val="2"/>
      </rPr>
      <t>- 2017 SDE tarieven</t>
    </r>
  </si>
  <si>
    <r>
      <t xml:space="preserve">Bioethanol
</t>
    </r>
    <r>
      <rPr>
        <sz val="11"/>
        <rFont val="Calibri"/>
        <family val="2"/>
        <scheme val="minor"/>
      </rPr>
      <t>mln ltr</t>
    </r>
  </si>
  <si>
    <r>
      <t xml:space="preserve">Diesel
</t>
    </r>
    <r>
      <rPr>
        <sz val="11"/>
        <rFont val="Calibri"/>
        <family val="2"/>
        <scheme val="minor"/>
      </rPr>
      <t>mln ltr</t>
    </r>
  </si>
  <si>
    <r>
      <t xml:space="preserve">Benzine
</t>
    </r>
    <r>
      <rPr>
        <sz val="11"/>
        <rFont val="Calibri"/>
        <family val="2"/>
        <scheme val="minor"/>
      </rPr>
      <t>mln ltr</t>
    </r>
  </si>
  <si>
    <r>
      <t xml:space="preserve">Biodiesel
</t>
    </r>
    <r>
      <rPr>
        <sz val="11"/>
        <rFont val="Calibri"/>
        <family val="2"/>
        <scheme val="minor"/>
      </rPr>
      <t>mln ltr</t>
    </r>
  </si>
  <si>
    <r>
      <rPr>
        <b/>
        <sz val="11"/>
        <rFont val="Calibri"/>
        <family val="2"/>
        <scheme val="minor"/>
      </rPr>
      <t>Bio- 
brandstof mix</t>
    </r>
    <r>
      <rPr>
        <sz val="11"/>
        <rFont val="Calibri"/>
        <family val="2"/>
        <scheme val="minor"/>
      </rPr>
      <t xml:space="preserve">
€mln</t>
    </r>
  </si>
  <si>
    <t>In de raportage van de Algemene Rekenkamer en achterliggende ECN rapportage is weergegeven hoeveel biobrandstof er wordt bijgemengd(*20)</t>
  </si>
  <si>
    <t>(ULS)</t>
  </si>
  <si>
    <t>(BOB)</t>
  </si>
  <si>
    <t>(T2)</t>
  </si>
  <si>
    <t>(FAME)</t>
  </si>
  <si>
    <t>Bron:  Platts, prijsniveau d.d. 22 juni 2017</t>
  </si>
  <si>
    <t>(*40) https://www.rolandberger.com/publications/publication_pdf/roland_berger_integrated_fuels_and_vehicles_roadmap_to_2030_v2_20160428.pdf</t>
  </si>
  <si>
    <t>Verhouding diesel en benzine *)</t>
  </si>
  <si>
    <t>kostprijs **)</t>
  </si>
  <si>
    <t>**)</t>
  </si>
  <si>
    <t>Bron *34 (verhouding diesel en benzine in nederland)</t>
  </si>
  <si>
    <t>Totaal (PJ) bijgemengde biobrandstof. *20, tabel A.7</t>
  </si>
  <si>
    <r>
      <t xml:space="preserve">Totaal
</t>
    </r>
    <r>
      <rPr>
        <sz val="11"/>
        <rFont val="Calibri"/>
        <family val="2"/>
        <scheme val="minor"/>
      </rPr>
      <t>(mlrd kWh)</t>
    </r>
  </si>
  <si>
    <r>
      <rPr>
        <b/>
        <sz val="11"/>
        <rFont val="Calibri"/>
        <family val="2"/>
        <scheme val="minor"/>
      </rPr>
      <t xml:space="preserve">Extra uitgaven voor burger </t>
    </r>
    <r>
      <rPr>
        <sz val="11"/>
        <rFont val="Calibri"/>
        <family val="2"/>
        <scheme val="minor"/>
      </rPr>
      <t xml:space="preserve">
</t>
    </r>
    <r>
      <rPr>
        <sz val="11"/>
        <rFont val="Calibri"/>
        <family val="2"/>
      </rPr>
      <t>€</t>
    </r>
    <r>
      <rPr>
        <sz val="11"/>
        <rFont val="Calibri"/>
        <family val="2"/>
        <scheme val="minor"/>
      </rPr>
      <t>mln</t>
    </r>
  </si>
  <si>
    <t>Uitgangspunten bij de berekening: (zie onderstaande tabel):</t>
  </si>
  <si>
    <r>
      <rPr>
        <b/>
        <i/>
        <sz val="11"/>
        <rFont val="Calibri"/>
        <family val="2"/>
        <scheme val="minor"/>
      </rPr>
      <t>Toelichting:</t>
    </r>
    <r>
      <rPr>
        <i/>
        <sz val="11"/>
        <rFont val="Calibri"/>
        <family val="2"/>
        <scheme val="minor"/>
      </rPr>
      <t xml:space="preserve"> Dit zijn hogere uitgaven voor de burger omdat de lagere inkomsten uit energiebelasting door energiebesparing bij de overheid in de jaren na 2003 mede gecompenseerd zijn door hogere energiebelasting op aardgas. Lagere uitgaven voor de burger als gevolg van energiebesparing bij de burger of bij bedrijven worden niet gezien als een lastenverlaging, want hier gaan meestal investeringen aan vooraf die eerst over vele jaren afbetaald moeten worden (bijv isolatie, aanschaf zuinige apparaten). De besparingen tgv verwaarloosbare investeringen (bijv tochtstrips of verwarming lager) worden niet meegenomen in dit rekenmodel.NB: Vermeden inkomsten bij netbeheerders tgv energiebesparing zijn niet meegerekend.</t>
    </r>
  </si>
  <si>
    <t xml:space="preserve">Voor de periode van 2003 t/m 2017 zijn de actuele energiebelastingen genomen </t>
  </si>
  <si>
    <t>Voor de periode na 2017 zijn de waarden van 2017 gehanteerd</t>
  </si>
  <si>
    <t>Aangenomen aandeel in gasverbruik (zie tabel boven)</t>
  </si>
  <si>
    <r>
      <rPr>
        <b/>
        <sz val="11"/>
        <color theme="1"/>
        <rFont val="Calibri"/>
        <family val="2"/>
        <scheme val="minor"/>
      </rPr>
      <t>Verdeling gas en elektraverbruik</t>
    </r>
    <r>
      <rPr>
        <sz val="11"/>
        <color theme="1"/>
        <rFont val="Calibri"/>
        <family val="2"/>
        <scheme val="minor"/>
      </rPr>
      <t>: Aardgas ~1.100 PJ waarvan ~300 PJ tbv elektriciteitsproductie bij grootverbruikers/centrales (zie *20, tabel 15)</t>
    </r>
  </si>
  <si>
    <t>Belasting-derving per jaar (*mln €)</t>
  </si>
  <si>
    <t>aardgas besparing
(mln m3 )</t>
  </si>
  <si>
    <r>
      <rPr>
        <b/>
        <i/>
        <sz val="11"/>
        <rFont val="Calibri"/>
        <family val="2"/>
        <scheme val="minor"/>
      </rPr>
      <t>ter info</t>
    </r>
    <r>
      <rPr>
        <i/>
        <sz val="11"/>
        <rFont val="Calibri"/>
        <family val="2"/>
        <scheme val="minor"/>
      </rPr>
      <t xml:space="preserve">: Bunkering is 695PJ/jaar = De levering van brandstof voor de internationale scheepvaart en voor de internationale luchtvaart. Dit betreft schepen of vliegtuigen die vertrekken uit Nederlandse havens en aankomen in/op buitenlandse (lucht)havens.De post bunkering wordt in de energiebalans van CBS gezien als een vorm van uitvoer dus zit niet in dit energiegebruik. De brandstof komt namelijk niet beschikbaar voor verbruik in Nederland. </t>
    </r>
    <r>
      <rPr>
        <i/>
        <sz val="11"/>
        <color rgb="FF0000FF"/>
        <rFont val="Calibri"/>
        <family val="2"/>
        <scheme val="minor"/>
      </rPr>
      <t>http://statline.cbs.nl/Statweb/publication/?DM=SLNL&amp;PA=37281&amp;D1=0,2-3,5-22&amp;D2=a&amp;D3=143,148,l&amp;HDR=G1,T&amp;STB=G2&amp;VW=T</t>
    </r>
  </si>
  <si>
    <r>
      <t>F</t>
    </r>
    <r>
      <rPr>
        <b/>
        <sz val="11"/>
        <rFont val="Calibri"/>
        <family val="2"/>
        <scheme val="minor"/>
      </rPr>
      <t>osiele 
brandstof mix</t>
    </r>
    <r>
      <rPr>
        <sz val="11"/>
        <rFont val="Calibri"/>
        <family val="2"/>
        <scheme val="minor"/>
      </rPr>
      <t xml:space="preserve">
€mln</t>
    </r>
  </si>
  <si>
    <r>
      <t xml:space="preserve">**) Voor het onderdeel </t>
    </r>
    <r>
      <rPr>
        <b/>
        <sz val="12"/>
        <color theme="1"/>
        <rFont val="Calibri"/>
        <family val="2"/>
        <scheme val="minor"/>
      </rPr>
      <t>'schone voertuigen'</t>
    </r>
    <r>
      <rPr>
        <sz val="12"/>
        <color theme="1"/>
        <rFont val="Calibri"/>
        <family val="2"/>
        <scheme val="minor"/>
      </rPr>
      <t xml:space="preserve"> is onder de noemer 'uitgaven per ton CO2 reductie in 2020' een getal van 1000 €/t CO2 gehanteerd, op basis van referentie (*39)</t>
    </r>
  </si>
  <si>
    <t>Middels dit spreadsheet-model is getracht om inzicht te verschaffen in de extra uitgaven bovenop de reguliere uitgaven aan energie bij uitvoering van de genoemde maatregelen en doelstellingen in het EnergieAkkoord. De investeringen die worden gedaan in energieinstallaties door bedrijven en particulieren (of de overheid middels meer of minder renderende fondsen) vallen hier dus niet onder.</t>
  </si>
  <si>
    <t xml:space="preserve">Op micro-niveau zal energiebesparing (door particulieren en bedrijven) terugverdiend worden. Op macro-niveau (schatkist) betreft het een derving van belastinginkomsten. Op de een of andere manier zal deze derving van inkomsten uiteindelijk toch weer op de burgers en bedrijven verhaald gaan worden (om de begroting in evenwicht te houden) </t>
  </si>
  <si>
    <r>
      <t xml:space="preserve">SDE2017 voorlopige bedragen. Basisbedrag 2017 is </t>
    </r>
    <r>
      <rPr>
        <sz val="12"/>
        <color theme="1"/>
        <rFont val="Calibri"/>
        <family val="2"/>
      </rPr>
      <t>€</t>
    </r>
    <r>
      <rPr>
        <sz val="12"/>
        <color theme="1"/>
        <rFont val="Calibri"/>
        <family val="2"/>
        <scheme val="minor"/>
      </rPr>
      <t xml:space="preserve">0,095/kWh. Correctiebedrag is </t>
    </r>
    <r>
      <rPr>
        <sz val="12"/>
        <color theme="1"/>
        <rFont val="Calibri"/>
        <family val="2"/>
      </rPr>
      <t>€</t>
    </r>
    <r>
      <rPr>
        <sz val="12"/>
        <color theme="1"/>
        <rFont val="Calibri"/>
        <family val="2"/>
        <scheme val="minor"/>
      </rPr>
      <t xml:space="preserve">0,029/kWh. </t>
    </r>
  </si>
  <si>
    <t>Volgens NEV (*27,20) komt er niks extra bij. Is anno 2013 0,4PJ per jaar en blijft zo.  In SDE 2017 wel tarief opgenomen.</t>
  </si>
  <si>
    <t>Basisbedrag SDE+ voor elektriciteit uit biomassa - gemiddeld over 2015-2020 - SDE+ tarief voor al toegekende projecten is opgenomen in tabblad 'Biomassa'</t>
  </si>
  <si>
    <r>
      <t xml:space="preserve">De resultaten van de berekening zijn in lijn met het </t>
    </r>
    <r>
      <rPr>
        <sz val="11"/>
        <color rgb="FF0000FF"/>
        <rFont val="Calibri"/>
        <family val="2"/>
        <scheme val="minor"/>
      </rPr>
      <t>Roland Berger rapport, april 2016 (*40)</t>
    </r>
  </si>
  <si>
    <t>Verschil t.o.v BoB / PDC uitkomst</t>
  </si>
  <si>
    <t>Bedrag SDE</t>
  </si>
  <si>
    <t>Percentage SDE</t>
  </si>
  <si>
    <t>Stijging uitgaven per procent duurzaam per periode van 10 jaar</t>
  </si>
  <si>
    <t>Percentage in Energieagenda genoemd als Europees doel</t>
  </si>
  <si>
    <t>Totale uitgaven voor 2021-2035 gemiddeld per jaar</t>
  </si>
  <si>
    <t>Elke inschatting is speculatief. De productiekosten zullen wellicht verder dalen, maar de inpassingskosten kunnen verder stijgen.</t>
  </si>
  <si>
    <t>NB: Als verdere uitwerking van Tabel 1A, is in onderstaande tabel toegezegde bedragen MEP/SDE/SDE+  t/m 2013 omgezet naar jaarlijkse bedragen per categorie. Dit om de kosten per categorie in de staafdiagram goed zichtbaar te maken.</t>
  </si>
  <si>
    <t>Egmond, IJmuiden WoZ</t>
  </si>
  <si>
    <t>Energie-netwerk uitbreiden</t>
  </si>
  <si>
    <t>Energie-besparing</t>
  </si>
  <si>
    <t>Water-kracht</t>
  </si>
  <si>
    <t>WKO + warmte-pompen</t>
  </si>
  <si>
    <t>Geo-thermie</t>
  </si>
  <si>
    <t>Bio-brandstof bijmengen - tbv vervoer</t>
  </si>
  <si>
    <t>Auteurs: R. v Drimmelen, E. v. d. Pol</t>
  </si>
  <si>
    <t>Voor het bezoeken van de links: klikken op het begin van de tekst</t>
  </si>
  <si>
    <t>zie brief aan 2e kamer FEZ / 16101136. Hierin wordt een slagingskans van 50-60% ingeschat. Omdat het Borssele Wind op Zee park er per 2016 bij kwam kan is het inmiddels 70%.</t>
  </si>
  <si>
    <t xml:space="preserve">Totale extra kosten van het beleid ten behoeve van de 2030 doelstelling (27% duurzame opwekking)   </t>
  </si>
  <si>
    <t xml:space="preserve">Totale kosten Energieakkoord plus 2030 doelstelling (27% duurzame opwekking)   </t>
  </si>
  <si>
    <t>donkergrijze balken, uitgaven lopen door tot 2044</t>
  </si>
  <si>
    <t xml:space="preserve">Totale extra kosten van het beleid ten behoeve van de 2040 doelstelling (50% duurzame opwekking)   </t>
  </si>
  <si>
    <t>Totalen:</t>
  </si>
  <si>
    <t>grijze balken, uitgaven lopen door tot na 2050, kosten na 2050 niet meer meegenomen</t>
  </si>
  <si>
    <t xml:space="preserve">Totale extra kosten van het beleid ten behoeve van de 2050 doelstelling (85% duurzame opwekking)   </t>
  </si>
  <si>
    <t xml:space="preserve">Totale kosten tbv de 2050 doelstellingen, tot 2050   </t>
  </si>
  <si>
    <t>Uitgaven t.b.v. de maatregelen tot 2050</t>
  </si>
  <si>
    <t>lichtgrijze balken, uitgaven lopen door tot 2050, kosten na 2050 niet meer meegenomen</t>
  </si>
  <si>
    <t>alle balken samen, kosten na 2050 niet meer meegenomen</t>
  </si>
  <si>
    <t>alle balken t/m 2035</t>
  </si>
  <si>
    <t>gekleurde en donkergrijze balken, uitgaven lopen door tot 2044</t>
  </si>
  <si>
    <t>Deze kosten tbv de 2040 en 2050 doelen zijn gebaseerd op dezelfde kosten per % duurzaam als in 2017, wat met de huidige technologie niet haalbaar is, en gaan dus uit van nieuwe technologie:</t>
  </si>
  <si>
    <t>TJ</t>
  </si>
  <si>
    <t>http://statline.cbs.nl/Statweb/publication/?DM=SLNL&amp;PA=37823wkk&amp;D1=13-16&amp;D2=a&amp;D3=1&amp;D4=0&amp;D5=a&amp;HDR=T,G4&amp;STB=G1,G2,G3&amp;VW=T</t>
  </si>
  <si>
    <t>Bron CBS</t>
  </si>
  <si>
    <t>NL verbruik in 2009</t>
  </si>
  <si>
    <t>% WKK in 2009</t>
  </si>
  <si>
    <t>% WKK in 2016</t>
  </si>
  <si>
    <t>http://www.clo.nl/indicatoren/nl0020-aanbod-en-verbruik-van-elektriciteit</t>
  </si>
  <si>
    <t>WKK ELEKTRICITEITSPRODUCTIE EN AANDEEL IN HET TOTAAL</t>
  </si>
  <si>
    <t xml:space="preserve">Resterende WKK na shake-out </t>
  </si>
  <si>
    <t>Besparing in aardgas tov STEG in MWh/MWh WKK</t>
  </si>
  <si>
    <t>Weggevallen productie per jaar</t>
  </si>
  <si>
    <t>Vergelijkbare duurzame energie in GWh</t>
  </si>
  <si>
    <t>Wind op land  2020</t>
  </si>
  <si>
    <t>Wind op zee 2020</t>
  </si>
  <si>
    <t>Wind samen in 2020</t>
  </si>
  <si>
    <t>NL verbruik in 2016</t>
  </si>
  <si>
    <t>171 704</t>
  </si>
  <si>
    <t>200 208</t>
  </si>
  <si>
    <t>222 315</t>
  </si>
  <si>
    <t>158 218</t>
  </si>
  <si>
    <t>152 029</t>
  </si>
  <si>
    <t>https://opendata.cbs.nl/statline/#/CBS/nl/dataset/37823wkk/table?ts=1539788928439</t>
  </si>
  <si>
    <t>Totale inzet WKK</t>
  </si>
  <si>
    <t>502 836</t>
  </si>
  <si>
    <t>14 765</t>
  </si>
  <si>
    <t>210 759</t>
  </si>
  <si>
    <t>169 703</t>
  </si>
  <si>
    <t>544 265</t>
  </si>
  <si>
    <t>324 650</t>
  </si>
  <si>
    <t>219 615</t>
  </si>
  <si>
    <t>538 993</t>
  </si>
  <si>
    <t>368 314</t>
  </si>
  <si>
    <t>14 579</t>
  </si>
  <si>
    <t>89 847</t>
  </si>
  <si>
    <t>66 252</t>
  </si>
  <si>
    <t>388 382</t>
  </si>
  <si>
    <t>216 678</t>
  </si>
  <si>
    <t>560 704</t>
  </si>
  <si>
    <t>11 744</t>
  </si>
  <si>
    <t>207 063</t>
  </si>
  <si>
    <t>204 387</t>
  </si>
  <si>
    <t>583 571</t>
  </si>
  <si>
    <t>362 767</t>
  </si>
  <si>
    <t>220 804</t>
  </si>
  <si>
    <t>597 499</t>
  </si>
  <si>
    <t>415 502</t>
  </si>
  <si>
    <t>11 428</t>
  </si>
  <si>
    <t>84 058</t>
  </si>
  <si>
    <t>86 510</t>
  </si>
  <si>
    <t>420 490</t>
  </si>
  <si>
    <t>220 282</t>
  </si>
  <si>
    <t>664 240</t>
  </si>
  <si>
    <t>195 440</t>
  </si>
  <si>
    <t>215 902</t>
  </si>
  <si>
    <t>656 960</t>
  </si>
  <si>
    <t>425 301</t>
  </si>
  <si>
    <t>231 660</t>
  </si>
  <si>
    <t>648 452</t>
  </si>
  <si>
    <t>471 325</t>
  </si>
  <si>
    <t>54 047</t>
  </si>
  <si>
    <t>122 726</t>
  </si>
  <si>
    <t>453 960</t>
  </si>
  <si>
    <t>231 644</t>
  </si>
  <si>
    <t>2015*</t>
  </si>
  <si>
    <t>415 538</t>
  </si>
  <si>
    <t>1 018</t>
  </si>
  <si>
    <t>337 219</t>
  </si>
  <si>
    <t>207 793</t>
  </si>
  <si>
    <t>588 262</t>
  </si>
  <si>
    <t>396 311</t>
  </si>
  <si>
    <t>191 950</t>
  </si>
  <si>
    <t>499 940</t>
  </si>
  <si>
    <t>303 045</t>
  </si>
  <si>
    <t>1 003</t>
  </si>
  <si>
    <t>59 085</t>
  </si>
  <si>
    <t>136 807</t>
  </si>
  <si>
    <t>350 168</t>
  </si>
  <si>
    <t>2016*</t>
  </si>
  <si>
    <t>454 173</t>
  </si>
  <si>
    <t>304 663</t>
  </si>
  <si>
    <t>206 547</t>
  </si>
  <si>
    <t>594 966</t>
  </si>
  <si>
    <t>414 607</t>
  </si>
  <si>
    <t>180 359</t>
  </si>
  <si>
    <t>472 837</t>
  </si>
  <si>
    <t>295 659</t>
  </si>
  <si>
    <t>37 554</t>
  </si>
  <si>
    <t>139 446</t>
  </si>
  <si>
    <t>330 380</t>
  </si>
  <si>
    <t>178 351</t>
  </si>
  <si>
    <t>Aardgas decentraal</t>
  </si>
  <si>
    <t>Oude statline totale inzet WKK</t>
  </si>
  <si>
    <t>Nieuwe statline</t>
  </si>
  <si>
    <t>SDE</t>
  </si>
  <si>
    <t>Overheid</t>
  </si>
  <si>
    <t>Tennet</t>
  </si>
  <si>
    <t>Burger</t>
  </si>
  <si>
    <t>Verbruiksafhankelijk</t>
  </si>
  <si>
    <t>Inkomensafhankelijk</t>
  </si>
  <si>
    <t>ODE</t>
  </si>
  <si>
    <t>Overh+Tennet</t>
  </si>
  <si>
    <t>Totale kosten 2020</t>
  </si>
  <si>
    <t xml:space="preserve">inclusief correctie voor subsidie die wel wordt toegekend </t>
  </si>
  <si>
    <t>maar uiteindelijk niet wordt gerealiseerd omdat projecten niet doorgaan</t>
  </si>
  <si>
    <t>uitgaven incl fiscale voordelen auto's en niet ontvangen energiebelasting</t>
  </si>
  <si>
    <t>Per gezin</t>
  </si>
  <si>
    <t xml:space="preserve">laatste aanpassing 190101 </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</si>
</sst>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 #,##0;&quot;€&quot;\ \-#,##0"/>
    <numFmt numFmtId="8" formatCode="&quot;€&quot;\ #,##0.00;[Red]&quot;€&quot;\ \-#,##0.00"/>
    <numFmt numFmtId="42" formatCode="_ &quot;€&quot;\ * #,##0_ ;_ &quot;€&quot;\ * \-#,##0_ ;_ &quot;€&quot;\ * &quot;-&quot;_ ;_ @_ "/>
    <numFmt numFmtId="43" formatCode="_ * #,##0.00_ ;_ * \-#,##0.00_ ;_ * &quot;-&quot;??_ ;_ @_ "/>
    <numFmt numFmtId="164" formatCode="_ * #,##0_ ;_ * \-#,##0_ ;_ * &quot;-&quot;??_ ;_ @_ "/>
    <numFmt numFmtId="165" formatCode="&quot;€&quot;\ #,##0.00"/>
    <numFmt numFmtId="166" formatCode="&quot;€&quot;\ #,##0"/>
    <numFmt numFmtId="167" formatCode="_-* #,##0_-;_-* #,##0\-;_-* &quot;-&quot;_-;_-@_-"/>
    <numFmt numFmtId="168" formatCode="&quot;€&quot;\ #,##0_-"/>
    <numFmt numFmtId="169" formatCode="&quot;€&quot;\ #,##0.000"/>
    <numFmt numFmtId="170" formatCode="0.0"/>
    <numFmt numFmtId="171" formatCode="_ * #,##0.0_ ;_ * \-#,##0.0_ ;_ * &quot;-&quot;??_ ;_ @_ "/>
    <numFmt numFmtId="172" formatCode="&quot;€&quot;\ #,##0.0000"/>
    <numFmt numFmtId="173" formatCode="&quot;€&quot;\ #,##0.0000;[Red]&quot;€&quot;\ \-#,##0.0000"/>
    <numFmt numFmtId="174" formatCode="0.0%"/>
    <numFmt numFmtId="175" formatCode="#,##0_ ;\-#,##0\ "/>
    <numFmt numFmtId="176" formatCode="_ * #,##0.000_ ;_ * \-#,##0.000_ ;_ * &quot;-&quot;??_ ;_ @_ "/>
    <numFmt numFmtId="177" formatCode="0.000"/>
    <numFmt numFmtId="178" formatCode="&quot;€&quot;\ #,##0.0"/>
    <numFmt numFmtId="179" formatCode="_ * #,##0.0_ ;_ * \-#,##0.0_ ;_ * &quot;-&quot;?_ ;_ @_ "/>
    <numFmt numFmtId="180" formatCode="0_ ;\-0\ "/>
    <numFmt numFmtId="181" formatCode="_ [$€-413]\ * #,##0.00_ ;_ [$€-413]\ * \-#,##0.00_ ;_ [$€-413]\ * &quot;-&quot;??_ ;_ @_ "/>
    <numFmt numFmtId="182" formatCode="_ [$€-413]\ * #,##0.000_ ;_ [$€-413]\ * \-#,##0.000_ ;_ [$€-413]\ * &quot;-&quot;??_ ;_ @_ "/>
    <numFmt numFmtId="183" formatCode="_ [$€-413]\ * #,##0.0000_ ;_ [$€-413]\ * \-#,##0.0000_ ;_ [$€-413]\ * &quot;-&quot;??_ ;_ @_ "/>
    <numFmt numFmtId="184" formatCode="0.0000"/>
    <numFmt numFmtId="185" formatCode="#,##0.000;\-#,##0.000"/>
    <numFmt numFmtId="186" formatCode="#,##0.000_ ;\-#,##0.000\ "/>
  </numFmts>
  <fonts count="111" x14ac:knownFonts="1">
    <font>
      <sz val="11"/>
      <color theme="1"/>
      <name val="Calibri"/>
      <family val="2"/>
      <scheme val="minor"/>
    </font>
    <font>
      <b/>
      <sz val="11"/>
      <color theme="1"/>
      <name val="Calibri"/>
      <family val="2"/>
      <scheme val="minor"/>
    </font>
    <font>
      <sz val="12"/>
      <color theme="1"/>
      <name val="Calibri"/>
      <family val="2"/>
    </font>
    <font>
      <sz val="12"/>
      <name val="Calibri"/>
      <family val="2"/>
    </font>
    <font>
      <sz val="11"/>
      <color theme="1"/>
      <name val="Calibri"/>
      <family val="2"/>
      <scheme val="minor"/>
    </font>
    <font>
      <sz val="11"/>
      <color theme="1"/>
      <name val="Calibri"/>
      <family val="2"/>
    </font>
    <font>
      <b/>
      <i/>
      <sz val="11"/>
      <color theme="1"/>
      <name val="Calibri"/>
      <family val="2"/>
      <scheme val="minor"/>
    </font>
    <font>
      <b/>
      <sz val="12"/>
      <name val="Calibri"/>
      <family val="2"/>
    </font>
    <font>
      <sz val="12"/>
      <color theme="1"/>
      <name val="Calibri"/>
      <family val="2"/>
      <scheme val="minor"/>
    </font>
    <font>
      <sz val="11"/>
      <color rgb="FFFF0000"/>
      <name val="Calibri"/>
      <family val="2"/>
      <scheme val="minor"/>
    </font>
    <font>
      <u/>
      <sz val="11"/>
      <color indexed="12"/>
      <name val="Calibri"/>
      <family val="2"/>
    </font>
    <font>
      <sz val="11"/>
      <name val="Calibri"/>
      <family val="2"/>
    </font>
    <font>
      <u/>
      <sz val="11"/>
      <name val="Calibri"/>
      <family val="2"/>
    </font>
    <font>
      <sz val="11"/>
      <name val="Calibri"/>
      <family val="2"/>
      <scheme val="minor"/>
    </font>
    <font>
      <sz val="10"/>
      <name val="Arial"/>
      <family val="2"/>
    </font>
    <font>
      <sz val="11"/>
      <name val="Arial"/>
      <family val="2"/>
    </font>
    <font>
      <b/>
      <sz val="12"/>
      <color theme="1"/>
      <name val="Calibri"/>
      <family val="2"/>
      <scheme val="minor"/>
    </font>
    <font>
      <sz val="10"/>
      <color theme="1"/>
      <name val="Arial"/>
      <family val="2"/>
    </font>
    <font>
      <b/>
      <sz val="16"/>
      <color theme="1"/>
      <name val="Calibri"/>
      <family val="2"/>
      <scheme val="minor"/>
    </font>
    <font>
      <sz val="16"/>
      <color theme="1"/>
      <name val="Calibri"/>
      <family val="2"/>
      <scheme val="minor"/>
    </font>
    <font>
      <i/>
      <sz val="12"/>
      <color theme="1"/>
      <name val="Calibri"/>
      <family val="2"/>
      <scheme val="minor"/>
    </font>
    <font>
      <sz val="12"/>
      <color rgb="FFFF0000"/>
      <name val="Calibri"/>
      <family val="2"/>
      <scheme val="minor"/>
    </font>
    <font>
      <b/>
      <sz val="16"/>
      <name val="Calibri"/>
      <family val="2"/>
      <scheme val="minor"/>
    </font>
    <font>
      <sz val="12"/>
      <name val="Calibri"/>
      <family val="2"/>
      <scheme val="minor"/>
    </font>
    <font>
      <b/>
      <sz val="12"/>
      <name val="Calibri"/>
      <family val="2"/>
      <scheme val="minor"/>
    </font>
    <font>
      <b/>
      <sz val="12"/>
      <color rgb="FFFF0000"/>
      <name val="Calibri"/>
      <family val="2"/>
      <scheme val="minor"/>
    </font>
    <font>
      <i/>
      <sz val="12"/>
      <name val="Calibri"/>
      <family val="2"/>
      <scheme val="minor"/>
    </font>
    <font>
      <u/>
      <sz val="12"/>
      <name val="Calibri"/>
      <family val="2"/>
      <scheme val="minor"/>
    </font>
    <font>
      <sz val="16"/>
      <name val="Calibri"/>
      <family val="2"/>
      <scheme val="minor"/>
    </font>
    <font>
      <vertAlign val="subscript"/>
      <sz val="12"/>
      <name val="Calibri"/>
      <family val="2"/>
      <scheme val="minor"/>
    </font>
    <font>
      <sz val="12"/>
      <color rgb="FF00B050"/>
      <name val="Calibri"/>
      <family val="2"/>
      <scheme val="minor"/>
    </font>
    <font>
      <i/>
      <sz val="12"/>
      <color rgb="FF00B050"/>
      <name val="Calibri"/>
      <family val="2"/>
      <scheme val="minor"/>
    </font>
    <font>
      <sz val="11"/>
      <color rgb="FF00B050"/>
      <name val="Calibri"/>
      <family val="2"/>
      <scheme val="minor"/>
    </font>
    <font>
      <sz val="16"/>
      <color rgb="FF00B050"/>
      <name val="Calibri"/>
      <family val="2"/>
      <scheme val="minor"/>
    </font>
    <font>
      <sz val="14"/>
      <name val="Calibri"/>
      <family val="2"/>
      <scheme val="minor"/>
    </font>
    <font>
      <b/>
      <u/>
      <sz val="12"/>
      <name val="Calibri"/>
      <family val="2"/>
      <scheme val="minor"/>
    </font>
    <font>
      <b/>
      <i/>
      <sz val="12"/>
      <name val="Calibri"/>
      <family val="2"/>
      <scheme val="minor"/>
    </font>
    <font>
      <b/>
      <sz val="11"/>
      <name val="Calibri"/>
      <family val="2"/>
      <scheme val="minor"/>
    </font>
    <font>
      <b/>
      <sz val="14"/>
      <name val="Calibri"/>
      <family val="2"/>
      <scheme val="minor"/>
    </font>
    <font>
      <sz val="9"/>
      <name val="Arial"/>
      <family val="2"/>
    </font>
    <font>
      <i/>
      <sz val="11"/>
      <name val="Calibri"/>
      <family val="2"/>
      <scheme val="minor"/>
    </font>
    <font>
      <b/>
      <i/>
      <sz val="11"/>
      <name val="Calibri"/>
      <family val="2"/>
      <scheme val="minor"/>
    </font>
    <font>
      <b/>
      <sz val="11"/>
      <name val="Calibri"/>
      <family val="2"/>
    </font>
    <font>
      <u/>
      <sz val="11"/>
      <name val="Calibri"/>
      <family val="2"/>
      <scheme val="minor"/>
    </font>
    <font>
      <b/>
      <sz val="12"/>
      <color theme="0" tint="-0.249977111117893"/>
      <name val="Calibri"/>
      <family val="2"/>
      <scheme val="minor"/>
    </font>
    <font>
      <sz val="8"/>
      <color theme="0" tint="-0.249977111117893"/>
      <name val="Calibri"/>
      <family val="2"/>
      <scheme val="minor"/>
    </font>
    <font>
      <sz val="8"/>
      <color theme="0" tint="-0.14999847407452621"/>
      <name val="Calibri"/>
      <family val="2"/>
      <scheme val="minor"/>
    </font>
    <font>
      <sz val="11"/>
      <color rgb="FF0000FF"/>
      <name val="Calibri"/>
      <family val="2"/>
      <scheme val="minor"/>
    </font>
    <font>
      <b/>
      <sz val="11"/>
      <color rgb="FF0000FF"/>
      <name val="Calibri"/>
      <family val="2"/>
      <scheme val="minor"/>
    </font>
    <font>
      <sz val="11"/>
      <color rgb="FF0070C0"/>
      <name val="Calibri"/>
      <family val="2"/>
      <scheme val="minor"/>
    </font>
    <font>
      <b/>
      <i/>
      <sz val="12"/>
      <color theme="1"/>
      <name val="Calibri"/>
      <family val="2"/>
      <scheme val="minor"/>
    </font>
    <font>
      <sz val="14"/>
      <color theme="1"/>
      <name val="Calibri"/>
      <family val="2"/>
      <scheme val="minor"/>
    </font>
    <font>
      <b/>
      <sz val="14"/>
      <color rgb="FF0000FF"/>
      <name val="Calibri"/>
      <family val="2"/>
      <scheme val="minor"/>
    </font>
    <font>
      <sz val="14"/>
      <color rgb="FF003399"/>
      <name val="Calibri"/>
      <family val="2"/>
      <scheme val="minor"/>
    </font>
    <font>
      <b/>
      <sz val="14"/>
      <color rgb="FF003399"/>
      <name val="Calibri"/>
      <family val="2"/>
      <scheme val="minor"/>
    </font>
    <font>
      <b/>
      <sz val="14"/>
      <color rgb="FF0000FF"/>
      <name val="Calibri"/>
      <family val="2"/>
    </font>
    <font>
      <sz val="9"/>
      <color indexed="81"/>
      <name val="Tahoma"/>
      <family val="2"/>
    </font>
    <font>
      <b/>
      <sz val="9"/>
      <color indexed="81"/>
      <name val="Tahoma"/>
      <family val="2"/>
    </font>
    <font>
      <sz val="8"/>
      <name val="Calibri"/>
      <family val="2"/>
      <scheme val="minor"/>
    </font>
    <font>
      <b/>
      <sz val="11"/>
      <color rgb="FF00B050"/>
      <name val="Calibri"/>
      <family val="2"/>
      <scheme val="minor"/>
    </font>
    <font>
      <u/>
      <sz val="11"/>
      <color rgb="FF0000FF"/>
      <name val="Calibri"/>
      <family val="2"/>
    </font>
    <font>
      <b/>
      <sz val="11"/>
      <color rgb="FFFF0000"/>
      <name val="Calibri"/>
      <family val="2"/>
      <scheme val="minor"/>
    </font>
    <font>
      <b/>
      <sz val="11"/>
      <color theme="0"/>
      <name val="Calibri"/>
      <family val="2"/>
      <scheme val="minor"/>
    </font>
    <font>
      <i/>
      <sz val="11"/>
      <color theme="1"/>
      <name val="Calibri"/>
      <family val="2"/>
      <scheme val="minor"/>
    </font>
    <font>
      <b/>
      <sz val="12"/>
      <color rgb="FFFF3300"/>
      <name val="Calibri"/>
      <family val="2"/>
      <scheme val="minor"/>
    </font>
    <font>
      <sz val="14"/>
      <color rgb="FF0000FF"/>
      <name val="Calibri"/>
      <family val="2"/>
      <scheme val="minor"/>
    </font>
    <font>
      <sz val="11"/>
      <color rgb="FFCC0099"/>
      <name val="Calibri"/>
      <family val="2"/>
      <scheme val="minor"/>
    </font>
    <font>
      <b/>
      <sz val="24"/>
      <color theme="6" tint="-0.249977111117893"/>
      <name val="Calibri"/>
      <family val="2"/>
      <scheme val="minor"/>
    </font>
    <font>
      <vertAlign val="subscript"/>
      <sz val="12"/>
      <color theme="1"/>
      <name val="Calibri"/>
      <family val="2"/>
      <scheme val="minor"/>
    </font>
    <font>
      <sz val="8"/>
      <color rgb="FFFF0000"/>
      <name val="Calibri"/>
      <family val="2"/>
      <scheme val="minor"/>
    </font>
    <font>
      <b/>
      <sz val="14"/>
      <color theme="1"/>
      <name val="Calibri"/>
      <family val="2"/>
      <scheme val="minor"/>
    </font>
    <font>
      <b/>
      <sz val="14"/>
      <color theme="1"/>
      <name val="Calibri"/>
      <family val="2"/>
    </font>
    <font>
      <b/>
      <sz val="12"/>
      <color theme="1"/>
      <name val="Calibri"/>
      <family val="2"/>
    </font>
    <font>
      <u/>
      <sz val="11"/>
      <color theme="1"/>
      <name val="Calibri"/>
      <family val="2"/>
    </font>
    <font>
      <u/>
      <sz val="12"/>
      <color theme="1"/>
      <name val="Calibri"/>
      <family val="2"/>
    </font>
    <font>
      <sz val="10.8"/>
      <name val="Calibri"/>
      <family val="2"/>
    </font>
    <font>
      <sz val="18"/>
      <color theme="1"/>
      <name val="Arial"/>
      <family val="2"/>
    </font>
    <font>
      <b/>
      <sz val="22"/>
      <color theme="6" tint="-0.249977111117893"/>
      <name val="Calibri"/>
      <family val="2"/>
      <scheme val="minor"/>
    </font>
    <font>
      <b/>
      <vertAlign val="subscript"/>
      <sz val="22"/>
      <color theme="6" tint="-0.249977111117893"/>
      <name val="Calibri"/>
      <family val="2"/>
      <scheme val="minor"/>
    </font>
    <font>
      <strike/>
      <sz val="11"/>
      <color rgb="FFFF0000"/>
      <name val="Calibri"/>
      <family val="2"/>
      <scheme val="minor"/>
    </font>
    <font>
      <strike/>
      <sz val="12"/>
      <color rgb="FFFF0000"/>
      <name val="Calibri"/>
      <family val="2"/>
      <scheme val="minor"/>
    </font>
    <font>
      <u/>
      <sz val="11"/>
      <color rgb="FFFF0000"/>
      <name val="Calibri"/>
      <family val="2"/>
      <scheme val="minor"/>
    </font>
    <font>
      <sz val="12"/>
      <color theme="0" tint="-0.499984740745262"/>
      <name val="Calibri"/>
      <family val="2"/>
      <scheme val="minor"/>
    </font>
    <font>
      <b/>
      <sz val="12"/>
      <color theme="0" tint="-0.499984740745262"/>
      <name val="Calibri"/>
      <family val="2"/>
      <scheme val="minor"/>
    </font>
    <font>
      <b/>
      <sz val="14"/>
      <name val="Calibri"/>
      <family val="2"/>
    </font>
    <font>
      <b/>
      <i/>
      <sz val="14"/>
      <name val="Calibri"/>
      <family val="2"/>
    </font>
    <font>
      <sz val="11"/>
      <color rgb="FF7030A0"/>
      <name val="Calibri"/>
      <family val="2"/>
      <scheme val="minor"/>
    </font>
    <font>
      <sz val="10"/>
      <color rgb="FF3E3E3E"/>
      <name val="Calibri"/>
      <family val="2"/>
      <scheme val="minor"/>
    </font>
    <font>
      <sz val="8.8000000000000007"/>
      <name val="Calibri"/>
      <family val="2"/>
    </font>
    <font>
      <sz val="10"/>
      <name val="Calibri"/>
      <family val="2"/>
      <scheme val="minor"/>
    </font>
    <font>
      <b/>
      <sz val="16"/>
      <color theme="1"/>
      <name val="Calibri"/>
      <family val="2"/>
      <scheme val="minor"/>
    </font>
    <font>
      <sz val="16"/>
      <color theme="1"/>
      <name val="Calibri"/>
      <family val="2"/>
      <scheme val="minor"/>
    </font>
    <font>
      <sz val="11"/>
      <color theme="1"/>
      <name val="Calibri"/>
      <family val="2"/>
      <scheme val="minor"/>
    </font>
    <font>
      <b/>
      <sz val="11"/>
      <color theme="1"/>
      <name val="Calibri"/>
      <family val="2"/>
      <scheme val="minor"/>
    </font>
    <font>
      <sz val="12"/>
      <color rgb="FFFF0000"/>
      <name val="Calibri"/>
      <family val="2"/>
    </font>
    <font>
      <sz val="11"/>
      <color rgb="FFFF0000"/>
      <name val="Calibri"/>
      <family val="2"/>
      <scheme val="minor"/>
    </font>
    <font>
      <b/>
      <sz val="12"/>
      <color theme="0"/>
      <name val="Calibri"/>
      <family val="2"/>
      <scheme val="minor"/>
    </font>
    <font>
      <sz val="11"/>
      <color rgb="FF92D050"/>
      <name val="Calibri"/>
      <family val="2"/>
      <scheme val="minor"/>
    </font>
    <font>
      <sz val="11"/>
      <color rgb="FFFF0000"/>
      <name val="Calibri"/>
      <family val="2"/>
    </font>
    <font>
      <sz val="10.8"/>
      <color theme="1"/>
      <name val="Calibri"/>
      <family val="2"/>
    </font>
    <font>
      <b/>
      <sz val="11"/>
      <color rgb="FF666666"/>
      <name val="Verdana"/>
      <family val="2"/>
    </font>
    <font>
      <sz val="11"/>
      <color rgb="FF666666"/>
      <name val="Verdana"/>
      <family val="2"/>
    </font>
    <font>
      <sz val="11"/>
      <color theme="0" tint="-0.499984740745262"/>
      <name val="Calibri"/>
      <family val="2"/>
      <scheme val="minor"/>
    </font>
    <font>
      <i/>
      <sz val="11"/>
      <color rgb="FF0000FF"/>
      <name val="Calibri"/>
      <family val="2"/>
      <scheme val="minor"/>
    </font>
    <font>
      <i/>
      <sz val="10"/>
      <color theme="1"/>
      <name val="Calibri"/>
      <family val="2"/>
      <scheme val="minor"/>
    </font>
    <font>
      <sz val="12"/>
      <color rgb="FF000000"/>
      <name val="Calibri"/>
      <family val="2"/>
      <scheme val="minor"/>
    </font>
    <font>
      <u/>
      <sz val="12"/>
      <color indexed="12"/>
      <name val="Calibri"/>
      <family val="2"/>
    </font>
    <font>
      <sz val="8"/>
      <color rgb="FF333333"/>
      <name val="Arial"/>
      <family val="2"/>
    </font>
    <font>
      <sz val="8"/>
      <color rgb="FF000000"/>
      <name val="Arial"/>
      <family val="2"/>
    </font>
    <font>
      <sz val="12"/>
      <color theme="0" tint="-0.14999847407452621"/>
      <name val="Calibri"/>
      <family val="2"/>
      <scheme val="minor"/>
    </font>
    <font>
      <sz val="12"/>
      <name val="Arial"/>
      <family val="2"/>
    </font>
  </fonts>
  <fills count="24">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indexed="22"/>
        <bgColor indexed="64"/>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F7C80"/>
        <bgColor indexed="64"/>
      </patternFill>
    </fill>
    <fill>
      <patternFill patternType="solid">
        <fgColor rgb="FFFF7D7D"/>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rgb="FFFF0000"/>
        <bgColor indexed="64"/>
      </patternFill>
    </fill>
    <fill>
      <patternFill patternType="solid">
        <fgColor rgb="FFFFFFFF"/>
        <bgColor indexed="64"/>
      </patternFill>
    </fill>
    <fill>
      <patternFill patternType="solid">
        <fgColor rgb="FFECECEC"/>
        <bgColor indexed="64"/>
      </patternFill>
    </fill>
    <fill>
      <patternFill patternType="solid">
        <fgColor theme="5" tint="0.79998168889431442"/>
        <bgColor indexed="64"/>
      </patternFill>
    </fill>
    <fill>
      <patternFill patternType="solid">
        <fgColor rgb="FF92D050"/>
        <bgColor indexed="64"/>
      </patternFill>
    </fill>
    <fill>
      <patternFill patternType="solid">
        <fgColor theme="8" tint="0.59996337778862885"/>
        <bgColor indexed="64"/>
      </patternFill>
    </fill>
    <fill>
      <patternFill patternType="solid">
        <fgColor theme="4" tint="0.59996337778862885"/>
        <bgColor indexed="64"/>
      </patternFill>
    </fill>
    <fill>
      <patternFill patternType="solid">
        <fgColor rgb="FFFFC000"/>
        <bgColor indexed="64"/>
      </patternFill>
    </fill>
    <fill>
      <patternFill patternType="solid">
        <fgColor theme="9" tint="0.59996337778862885"/>
        <bgColor indexed="64"/>
      </patternFill>
    </fill>
  </fills>
  <borders count="7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theme="0" tint="-0.34998626667073579"/>
      </right>
      <top/>
      <bottom/>
      <diagonal/>
    </border>
    <border>
      <left/>
      <right/>
      <top/>
      <bottom style="medium">
        <color indexed="64"/>
      </bottom>
      <diagonal/>
    </border>
    <border>
      <left style="medium">
        <color auto="1"/>
      </left>
      <right/>
      <top/>
      <bottom/>
      <diagonal/>
    </border>
    <border>
      <left style="medium">
        <color auto="1"/>
      </left>
      <right/>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1"/>
      </left>
      <right style="thin">
        <color indexed="64"/>
      </right>
      <top style="thin">
        <color indexed="64"/>
      </top>
      <bottom style="thin">
        <color indexed="64"/>
      </bottom>
      <diagonal/>
    </border>
    <border>
      <left style="medium">
        <color theme="1"/>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medium">
        <color theme="1"/>
      </left>
      <right/>
      <top/>
      <bottom style="thin">
        <color indexed="64"/>
      </bottom>
      <diagonal/>
    </border>
    <border>
      <left/>
      <right style="medium">
        <color theme="1"/>
      </right>
      <top/>
      <bottom style="thin">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medium">
        <color auto="1"/>
      </left>
      <right style="medium">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499984740745262"/>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thin">
        <color theme="0" tint="-0.499984740745262"/>
      </top>
      <bottom/>
      <diagonal/>
    </border>
    <border>
      <left/>
      <right style="thin">
        <color indexed="64"/>
      </right>
      <top/>
      <bottom style="thin">
        <color theme="0" tint="-0.499984740745262"/>
      </bottom>
      <diagonal/>
    </border>
    <border>
      <left style="thin">
        <color indexed="64"/>
      </left>
      <right/>
      <top/>
      <bottom style="thin">
        <color theme="0" tint="-0.499984740745262"/>
      </bottom>
      <diagonal/>
    </border>
    <border>
      <left style="thin">
        <color indexed="64"/>
      </left>
      <right/>
      <top style="thin">
        <color theme="0" tint="-0.499984740745262"/>
      </top>
      <bottom/>
      <diagonal/>
    </border>
    <border>
      <left style="thin">
        <color theme="0" tint="-0.499984740745262"/>
      </left>
      <right/>
      <top/>
      <bottom style="thin">
        <color indexed="64"/>
      </bottom>
      <diagonal/>
    </border>
    <border>
      <left style="thin">
        <color theme="0" tint="-0.499984740745262"/>
      </left>
      <right style="medium">
        <color indexed="64"/>
      </right>
      <top/>
      <bottom style="medium">
        <color indexed="64"/>
      </bottom>
      <diagonal/>
    </border>
    <border>
      <left style="thin">
        <color theme="0" tint="-0.499984740745262"/>
      </left>
      <right/>
      <top/>
      <bottom style="medium">
        <color indexed="64"/>
      </bottom>
      <diagonal/>
    </border>
    <border>
      <left style="thin">
        <color theme="0" tint="-0.499984740745262"/>
      </left>
      <right style="medium">
        <color indexed="64"/>
      </right>
      <top style="medium">
        <color indexed="64"/>
      </top>
      <bottom style="medium">
        <color indexed="64"/>
      </bottom>
      <diagonal/>
    </border>
    <border>
      <left style="thin">
        <color theme="0" tint="-0.499984740745262"/>
      </left>
      <right/>
      <top style="medium">
        <color indexed="64"/>
      </top>
      <bottom style="medium">
        <color indexed="64"/>
      </bottom>
      <diagonal/>
    </border>
    <border>
      <left style="thin">
        <color theme="0" tint="-0.499984740745262"/>
      </left>
      <right style="medium">
        <color indexed="64"/>
      </right>
      <top style="medium">
        <color indexed="64"/>
      </top>
      <bottom/>
      <diagonal/>
    </border>
    <border>
      <left style="thin">
        <color theme="0" tint="-0.499984740745262"/>
      </left>
      <right style="medium">
        <color indexed="64"/>
      </right>
      <top/>
      <bottom/>
      <diagonal/>
    </border>
    <border>
      <left/>
      <right/>
      <top style="medium">
        <color rgb="FFECECEC"/>
      </top>
      <bottom/>
      <diagonal/>
    </border>
  </borders>
  <cellStyleXfs count="5">
    <xf numFmtId="0" fontId="0" fillId="0" borderId="0"/>
    <xf numFmtId="43" fontId="4" fillId="0" borderId="0" applyFont="0" applyFill="0" applyBorder="0" applyAlignment="0" applyProtection="0"/>
    <xf numFmtId="9" fontId="4" fillId="0" borderId="0" applyFont="0" applyFill="0" applyBorder="0" applyAlignment="0" applyProtection="0"/>
    <xf numFmtId="0" fontId="10" fillId="0" borderId="0" applyNumberFormat="0" applyFill="0" applyBorder="0" applyAlignment="0" applyProtection="0">
      <alignment vertical="top"/>
      <protection locked="0"/>
    </xf>
    <xf numFmtId="0" fontId="14" fillId="0" borderId="0"/>
  </cellStyleXfs>
  <cellXfs count="1806">
    <xf numFmtId="0" fontId="0" fillId="0" borderId="0" xfId="0"/>
    <xf numFmtId="0" fontId="1" fillId="0" borderId="0" xfId="0" applyFont="1"/>
    <xf numFmtId="0" fontId="0" fillId="0" borderId="0" xfId="0" applyAlignment="1">
      <alignment wrapText="1"/>
    </xf>
    <xf numFmtId="0" fontId="0" fillId="0" borderId="0" xfId="0" applyFill="1"/>
    <xf numFmtId="0" fontId="0" fillId="0" borderId="1" xfId="0" applyBorder="1"/>
    <xf numFmtId="0" fontId="0" fillId="0" borderId="1" xfId="0" applyBorder="1" applyAlignment="1">
      <alignment wrapText="1"/>
    </xf>
    <xf numFmtId="0" fontId="0" fillId="0" borderId="1" xfId="0" quotePrefix="1" applyFont="1" applyFill="1" applyBorder="1" applyAlignment="1">
      <alignment wrapText="1"/>
    </xf>
    <xf numFmtId="164" fontId="0" fillId="0" borderId="1" xfId="1" quotePrefix="1" applyNumberFormat="1" applyFont="1" applyFill="1" applyBorder="1" applyAlignment="1">
      <alignment horizontal="right" vertical="center" wrapText="1"/>
    </xf>
    <xf numFmtId="0" fontId="0" fillId="0" borderId="0" xfId="0" applyBorder="1"/>
    <xf numFmtId="0" fontId="6" fillId="0" borderId="1" xfId="0" quotePrefix="1" applyFont="1" applyFill="1" applyBorder="1" applyAlignment="1">
      <alignment wrapText="1"/>
    </xf>
    <xf numFmtId="0" fontId="1" fillId="0" borderId="0" xfId="0" applyFont="1" applyAlignment="1">
      <alignment wrapText="1"/>
    </xf>
    <xf numFmtId="164" fontId="0" fillId="0" borderId="2" xfId="1" quotePrefix="1" applyNumberFormat="1" applyFont="1" applyFill="1" applyBorder="1" applyAlignment="1">
      <alignment horizontal="right" vertical="center" wrapText="1"/>
    </xf>
    <xf numFmtId="0" fontId="1" fillId="0" borderId="2" xfId="0" applyFont="1" applyBorder="1"/>
    <xf numFmtId="0" fontId="12" fillId="0" borderId="0" xfId="3" applyFont="1" applyAlignment="1" applyProtection="1"/>
    <xf numFmtId="0" fontId="13" fillId="0" borderId="0" xfId="0" applyFont="1" applyAlignment="1">
      <alignment wrapText="1"/>
    </xf>
    <xf numFmtId="164" fontId="0" fillId="0" borderId="0" xfId="1" applyNumberFormat="1" applyFont="1"/>
    <xf numFmtId="0" fontId="0" fillId="0" borderId="0" xfId="0" applyBorder="1" applyAlignment="1">
      <alignment wrapText="1"/>
    </xf>
    <xf numFmtId="0" fontId="0" fillId="0" borderId="0" xfId="0" applyFill="1" applyBorder="1"/>
    <xf numFmtId="1" fontId="15" fillId="0" borderId="0" xfId="4" applyNumberFormat="1" applyFont="1" applyFill="1" applyBorder="1" applyAlignment="1">
      <alignment horizontal="left"/>
    </xf>
    <xf numFmtId="0" fontId="0" fillId="5" borderId="0" xfId="0" applyFill="1" applyBorder="1"/>
    <xf numFmtId="0" fontId="0" fillId="0" borderId="0" xfId="0" applyAlignment="1">
      <alignment horizontal="left"/>
    </xf>
    <xf numFmtId="0" fontId="0" fillId="6" borderId="0" xfId="0" applyFill="1" applyBorder="1"/>
    <xf numFmtId="0" fontId="0" fillId="6" borderId="0" xfId="0" applyFill="1" applyBorder="1" applyAlignment="1">
      <alignment horizontal="left"/>
    </xf>
    <xf numFmtId="0" fontId="8" fillId="6" borderId="0" xfId="0" quotePrefix="1" applyFont="1" applyFill="1" applyBorder="1" applyAlignment="1">
      <alignment horizontal="left" vertical="top" wrapText="1"/>
    </xf>
    <xf numFmtId="0" fontId="18" fillId="6" borderId="0" xfId="0" applyFont="1" applyFill="1" applyAlignment="1">
      <alignment wrapText="1"/>
    </xf>
    <xf numFmtId="0" fontId="0" fillId="6" borderId="0" xfId="0" applyFill="1" applyAlignment="1">
      <alignment textRotation="45" wrapText="1"/>
    </xf>
    <xf numFmtId="0" fontId="0" fillId="6" borderId="0" xfId="0" applyFill="1"/>
    <xf numFmtId="0" fontId="18" fillId="6" borderId="0" xfId="0" applyFont="1" applyFill="1" applyBorder="1" applyAlignment="1">
      <alignment horizontal="left" vertical="center"/>
    </xf>
    <xf numFmtId="0" fontId="19" fillId="6" borderId="0" xfId="0" applyFont="1" applyFill="1" applyBorder="1" applyAlignment="1"/>
    <xf numFmtId="1" fontId="23" fillId="0" borderId="0" xfId="4" applyNumberFormat="1" applyFont="1" applyFill="1" applyBorder="1" applyAlignment="1">
      <alignment horizontal="left"/>
    </xf>
    <xf numFmtId="1" fontId="23" fillId="4" borderId="11" xfId="4" applyNumberFormat="1" applyFont="1" applyFill="1" applyBorder="1" applyAlignment="1">
      <alignment horizontal="left"/>
    </xf>
    <xf numFmtId="1" fontId="23" fillId="0" borderId="0" xfId="4" applyNumberFormat="1" applyFont="1" applyFill="1" applyAlignment="1">
      <alignment horizontal="left"/>
    </xf>
    <xf numFmtId="1" fontId="24" fillId="0" borderId="0" xfId="4" applyNumberFormat="1" applyFont="1" applyBorder="1" applyAlignment="1">
      <alignment horizontal="left"/>
    </xf>
    <xf numFmtId="1" fontId="24" fillId="0" borderId="0" xfId="4" applyNumberFormat="1" applyFont="1" applyAlignment="1">
      <alignment horizontal="left"/>
    </xf>
    <xf numFmtId="1" fontId="23" fillId="0" borderId="0" xfId="4" applyNumberFormat="1" applyFont="1" applyAlignment="1">
      <alignment horizontal="left"/>
    </xf>
    <xf numFmtId="1" fontId="23" fillId="0" borderId="0" xfId="4" applyNumberFormat="1" applyFont="1" applyAlignment="1">
      <alignment horizontal="center"/>
    </xf>
    <xf numFmtId="1" fontId="24" fillId="0" borderId="0" xfId="4" applyNumberFormat="1" applyFont="1" applyBorder="1" applyAlignment="1">
      <alignment horizontal="center"/>
    </xf>
    <xf numFmtId="1" fontId="23" fillId="0" borderId="0" xfId="4" applyNumberFormat="1" applyFont="1" applyAlignment="1"/>
    <xf numFmtId="167" fontId="23" fillId="4" borderId="11" xfId="4" applyNumberFormat="1" applyFont="1" applyFill="1" applyBorder="1" applyAlignment="1">
      <alignment horizontal="left"/>
    </xf>
    <xf numFmtId="1" fontId="23" fillId="0" borderId="0" xfId="4" applyNumberFormat="1" applyFont="1" applyBorder="1" applyAlignment="1"/>
    <xf numFmtId="167" fontId="23" fillId="4" borderId="11" xfId="4" applyNumberFormat="1" applyFont="1" applyFill="1" applyBorder="1" applyAlignment="1"/>
    <xf numFmtId="1" fontId="23" fillId="0" borderId="0" xfId="4" applyNumberFormat="1" applyFont="1" applyBorder="1" applyAlignment="1">
      <alignment horizontal="center"/>
    </xf>
    <xf numFmtId="1" fontId="24" fillId="0" borderId="0" xfId="4" applyNumberFormat="1" applyFont="1" applyBorder="1" applyAlignment="1"/>
    <xf numFmtId="1" fontId="23" fillId="0" borderId="8" xfId="4" applyNumberFormat="1" applyFont="1" applyBorder="1" applyAlignment="1">
      <alignment horizontal="center"/>
    </xf>
    <xf numFmtId="1" fontId="23" fillId="0" borderId="8" xfId="4" applyNumberFormat="1" applyFont="1" applyBorder="1" applyAlignment="1"/>
    <xf numFmtId="167" fontId="23" fillId="4" borderId="9" xfId="4" applyNumberFormat="1" applyFont="1" applyFill="1" applyBorder="1" applyAlignment="1"/>
    <xf numFmtId="167" fontId="23" fillId="0" borderId="0" xfId="4" applyNumberFormat="1" applyFont="1" applyFill="1" applyBorder="1" applyAlignment="1">
      <alignment horizontal="left"/>
    </xf>
    <xf numFmtId="1" fontId="23" fillId="0" borderId="8" xfId="4" applyNumberFormat="1" applyFont="1" applyFill="1" applyBorder="1" applyAlignment="1">
      <alignment horizontal="center"/>
    </xf>
    <xf numFmtId="1" fontId="23" fillId="0" borderId="8" xfId="4" applyNumberFormat="1" applyFont="1" applyFill="1" applyBorder="1" applyAlignment="1"/>
    <xf numFmtId="1" fontId="23" fillId="0" borderId="0" xfId="4" applyNumberFormat="1" applyFont="1" applyBorder="1" applyAlignment="1">
      <alignment horizontal="left"/>
    </xf>
    <xf numFmtId="167" fontId="23" fillId="4" borderId="9" xfId="4" applyNumberFormat="1" applyFont="1" applyFill="1" applyBorder="1" applyAlignment="1">
      <alignment horizontal="left"/>
    </xf>
    <xf numFmtId="1" fontId="23" fillId="0" borderId="0" xfId="4" applyNumberFormat="1" applyFont="1" applyBorder="1" applyAlignment="1">
      <alignment wrapText="1"/>
    </xf>
    <xf numFmtId="1" fontId="26" fillId="0" borderId="0" xfId="4" applyNumberFormat="1" applyFont="1" applyBorder="1" applyAlignment="1"/>
    <xf numFmtId="167" fontId="24" fillId="4" borderId="11" xfId="4" applyNumberFormat="1" applyFont="1" applyFill="1" applyBorder="1" applyAlignment="1"/>
    <xf numFmtId="0" fontId="8" fillId="0" borderId="0" xfId="0" applyFont="1" applyFill="1"/>
    <xf numFmtId="1" fontId="24" fillId="0" borderId="0" xfId="4" applyNumberFormat="1" applyFont="1" applyFill="1" applyBorder="1" applyAlignment="1">
      <alignment horizontal="center"/>
    </xf>
    <xf numFmtId="1" fontId="24" fillId="0" borderId="0" xfId="4" applyNumberFormat="1" applyFont="1" applyFill="1" applyBorder="1" applyAlignment="1"/>
    <xf numFmtId="167" fontId="24" fillId="3" borderId="11" xfId="4" applyNumberFormat="1" applyFont="1" applyFill="1" applyBorder="1" applyAlignment="1"/>
    <xf numFmtId="0" fontId="20" fillId="3" borderId="0" xfId="0" quotePrefix="1" applyFont="1" applyFill="1" applyBorder="1" applyAlignment="1">
      <alignment wrapText="1"/>
    </xf>
    <xf numFmtId="0" fontId="20" fillId="3" borderId="0" xfId="0" applyFont="1" applyFill="1" applyBorder="1"/>
    <xf numFmtId="0" fontId="8" fillId="3" borderId="0" xfId="0" applyFont="1" applyFill="1" applyBorder="1"/>
    <xf numFmtId="0" fontId="8" fillId="3" borderId="0" xfId="0" applyFont="1" applyFill="1" applyBorder="1" applyAlignment="1">
      <alignment horizontal="left"/>
    </xf>
    <xf numFmtId="0" fontId="8" fillId="0" borderId="0" xfId="0" applyFont="1" applyFill="1" applyBorder="1"/>
    <xf numFmtId="0" fontId="8" fillId="0" borderId="0" xfId="0" applyFont="1"/>
    <xf numFmtId="0" fontId="8" fillId="0" borderId="1" xfId="0" applyFont="1" applyBorder="1"/>
    <xf numFmtId="0" fontId="13" fillId="0" borderId="0" xfId="0" applyFont="1"/>
    <xf numFmtId="0" fontId="0" fillId="0" borderId="0" xfId="0" applyFill="1" applyBorder="1" applyAlignment="1">
      <alignment wrapText="1"/>
    </xf>
    <xf numFmtId="0" fontId="0" fillId="0" borderId="0" xfId="0" applyBorder="1" applyAlignment="1">
      <alignment horizontal="left"/>
    </xf>
    <xf numFmtId="173" fontId="0" fillId="0" borderId="0" xfId="0" applyNumberFormat="1" applyBorder="1"/>
    <xf numFmtId="0" fontId="0" fillId="0" borderId="0" xfId="0" applyFill="1" applyBorder="1" applyAlignment="1">
      <alignment vertical="center" wrapText="1"/>
    </xf>
    <xf numFmtId="0" fontId="0" fillId="0" borderId="0" xfId="0" applyFill="1" applyBorder="1" applyAlignment="1">
      <alignment horizontal="right" vertical="center" wrapText="1"/>
    </xf>
    <xf numFmtId="172" fontId="0" fillId="0" borderId="0" xfId="0" applyNumberFormat="1" applyFill="1" applyBorder="1" applyAlignment="1">
      <alignment vertical="center" wrapText="1"/>
    </xf>
    <xf numFmtId="0" fontId="0" fillId="0" borderId="1" xfId="0" applyBorder="1" applyAlignment="1">
      <alignment horizontal="left"/>
    </xf>
    <xf numFmtId="1" fontId="23" fillId="0" borderId="0" xfId="4" applyNumberFormat="1" applyFont="1" applyFill="1" applyBorder="1" applyAlignment="1">
      <alignment horizontal="right"/>
    </xf>
    <xf numFmtId="0" fontId="23" fillId="0" borderId="1" xfId="0" applyFont="1" applyBorder="1" applyAlignment="1"/>
    <xf numFmtId="167" fontId="23" fillId="0" borderId="0" xfId="4" applyNumberFormat="1" applyFont="1" applyFill="1" applyBorder="1" applyAlignment="1"/>
    <xf numFmtId="1" fontId="24" fillId="2" borderId="1" xfId="4" applyNumberFormat="1" applyFont="1" applyFill="1" applyBorder="1" applyAlignment="1">
      <alignment horizontal="left" wrapText="1"/>
    </xf>
    <xf numFmtId="164" fontId="8" fillId="0" borderId="0" xfId="1" applyNumberFormat="1" applyFont="1"/>
    <xf numFmtId="164" fontId="23" fillId="0" borderId="0" xfId="1" applyNumberFormat="1" applyFont="1"/>
    <xf numFmtId="1" fontId="23" fillId="6" borderId="0" xfId="4" applyNumberFormat="1" applyFont="1" applyFill="1" applyBorder="1" applyAlignment="1"/>
    <xf numFmtId="1" fontId="23" fillId="0" borderId="0" xfId="4" applyNumberFormat="1" applyFont="1" applyFill="1" applyBorder="1" applyAlignment="1">
      <alignment wrapText="1"/>
    </xf>
    <xf numFmtId="170" fontId="23" fillId="0" borderId="0" xfId="4" applyNumberFormat="1" applyFont="1" applyFill="1" applyBorder="1" applyAlignment="1">
      <alignment horizontal="right"/>
    </xf>
    <xf numFmtId="0" fontId="23" fillId="0" borderId="1" xfId="0" applyFont="1" applyBorder="1"/>
    <xf numFmtId="0" fontId="13" fillId="0" borderId="0" xfId="0" applyFont="1" applyFill="1"/>
    <xf numFmtId="0" fontId="18" fillId="6" borderId="0" xfId="0" applyFont="1" applyFill="1" applyAlignment="1">
      <alignment horizontal="left"/>
    </xf>
    <xf numFmtId="1" fontId="23" fillId="0" borderId="0" xfId="4" applyNumberFormat="1" applyFont="1" applyFill="1" applyBorder="1" applyAlignment="1">
      <alignment horizontal="center" wrapText="1"/>
    </xf>
    <xf numFmtId="10" fontId="23" fillId="0" borderId="0" xfId="2" applyNumberFormat="1" applyFont="1" applyFill="1" applyBorder="1" applyAlignment="1">
      <alignment horizontal="center"/>
    </xf>
    <xf numFmtId="10" fontId="25" fillId="0" borderId="0" xfId="2" applyNumberFormat="1" applyFont="1" applyFill="1" applyBorder="1" applyAlignment="1">
      <alignment horizontal="center"/>
    </xf>
    <xf numFmtId="1" fontId="21" fillId="0" borderId="0" xfId="4" quotePrefix="1" applyNumberFormat="1" applyFont="1" applyFill="1" applyBorder="1" applyAlignment="1">
      <alignment horizontal="center" wrapText="1"/>
    </xf>
    <xf numFmtId="164" fontId="23" fillId="0" borderId="0" xfId="1" applyNumberFormat="1" applyFont="1" applyFill="1" applyBorder="1" applyAlignment="1">
      <alignment horizontal="center" wrapText="1"/>
    </xf>
    <xf numFmtId="166" fontId="23" fillId="0" borderId="0" xfId="4" applyNumberFormat="1" applyFont="1" applyFill="1" applyBorder="1" applyAlignment="1">
      <alignment horizontal="center" wrapText="1"/>
    </xf>
    <xf numFmtId="10" fontId="21" fillId="0" borderId="0" xfId="2" applyNumberFormat="1" applyFont="1" applyFill="1" applyBorder="1" applyAlignment="1">
      <alignment horizontal="center"/>
    </xf>
    <xf numFmtId="166" fontId="23" fillId="0" borderId="0" xfId="1" applyNumberFormat="1" applyFont="1" applyFill="1" applyBorder="1" applyAlignment="1">
      <alignment horizontal="center"/>
    </xf>
    <xf numFmtId="166" fontId="30" fillId="0" borderId="0" xfId="1" applyNumberFormat="1" applyFont="1" applyFill="1" applyBorder="1" applyAlignment="1">
      <alignment horizontal="center"/>
    </xf>
    <xf numFmtId="166" fontId="8" fillId="0" borderId="0" xfId="0" applyNumberFormat="1" applyFont="1" applyFill="1" applyBorder="1" applyAlignment="1">
      <alignment horizontal="center"/>
    </xf>
    <xf numFmtId="166" fontId="31" fillId="0" borderId="0" xfId="0" applyNumberFormat="1" applyFont="1" applyFill="1" applyBorder="1" applyAlignment="1">
      <alignment horizontal="center"/>
    </xf>
    <xf numFmtId="10" fontId="24" fillId="0" borderId="0" xfId="2" applyNumberFormat="1" applyFont="1" applyFill="1" applyBorder="1" applyAlignment="1">
      <alignment horizontal="center"/>
    </xf>
    <xf numFmtId="166" fontId="16" fillId="0" borderId="0" xfId="1" applyNumberFormat="1" applyFont="1" applyFill="1" applyBorder="1" applyAlignment="1">
      <alignment horizontal="center"/>
    </xf>
    <xf numFmtId="164" fontId="24" fillId="0" borderId="1" xfId="1" applyNumberFormat="1" applyFont="1" applyBorder="1" applyAlignment="1"/>
    <xf numFmtId="164" fontId="23" fillId="0" borderId="1" xfId="1" applyNumberFormat="1" applyFont="1" applyBorder="1" applyAlignment="1"/>
    <xf numFmtId="164" fontId="0" fillId="0" borderId="0" xfId="1" applyNumberFormat="1" applyFont="1" applyFill="1" applyBorder="1"/>
    <xf numFmtId="0" fontId="8" fillId="0" borderId="0" xfId="0" applyFont="1" applyFill="1" applyBorder="1" applyAlignment="1">
      <alignment wrapText="1"/>
    </xf>
    <xf numFmtId="0" fontId="13" fillId="0" borderId="0" xfId="0" applyFont="1" applyBorder="1"/>
    <xf numFmtId="164" fontId="16" fillId="0" borderId="1" xfId="1" applyNumberFormat="1" applyFont="1" applyBorder="1"/>
    <xf numFmtId="164" fontId="8" fillId="0" borderId="1" xfId="1" applyNumberFormat="1" applyFont="1" applyBorder="1" applyAlignment="1">
      <alignment wrapText="1"/>
    </xf>
    <xf numFmtId="164" fontId="8" fillId="0" borderId="1" xfId="1" applyNumberFormat="1" applyFont="1" applyBorder="1"/>
    <xf numFmtId="164" fontId="16" fillId="0" borderId="1" xfId="1" applyNumberFormat="1" applyFont="1" applyBorder="1" applyAlignment="1">
      <alignment wrapText="1"/>
    </xf>
    <xf numFmtId="0" fontId="16" fillId="0" borderId="1" xfId="1" applyNumberFormat="1" applyFont="1" applyBorder="1"/>
    <xf numFmtId="164" fontId="16" fillId="0" borderId="0" xfId="0" applyNumberFormat="1" applyFont="1"/>
    <xf numFmtId="164" fontId="16" fillId="0" borderId="0" xfId="0" applyNumberFormat="1" applyFont="1" applyFill="1"/>
    <xf numFmtId="164" fontId="8" fillId="0" borderId="1" xfId="1" applyNumberFormat="1" applyFont="1" applyBorder="1" applyAlignment="1">
      <alignment horizontal="center"/>
    </xf>
    <xf numFmtId="1" fontId="23" fillId="0" borderId="0" xfId="4" applyNumberFormat="1" applyFont="1" applyFill="1" applyBorder="1" applyAlignment="1"/>
    <xf numFmtId="1" fontId="15" fillId="0" borderId="0" xfId="4" applyNumberFormat="1" applyFont="1" applyFill="1" applyBorder="1" applyAlignment="1"/>
    <xf numFmtId="0" fontId="8" fillId="5" borderId="2" xfId="0" applyFont="1" applyFill="1" applyBorder="1"/>
    <xf numFmtId="0" fontId="8" fillId="5" borderId="0" xfId="0" applyFont="1" applyFill="1" applyBorder="1"/>
    <xf numFmtId="0" fontId="13" fillId="0" borderId="0" xfId="0" quotePrefix="1" applyFont="1" applyFill="1" applyAlignment="1">
      <alignment wrapText="1"/>
    </xf>
    <xf numFmtId="0" fontId="34" fillId="0" borderId="0" xfId="0" applyFont="1"/>
    <xf numFmtId="0" fontId="23" fillId="0" borderId="0" xfId="0" applyFont="1"/>
    <xf numFmtId="0" fontId="23" fillId="3" borderId="2" xfId="0" applyFont="1" applyFill="1" applyBorder="1"/>
    <xf numFmtId="0" fontId="23" fillId="3" borderId="10" xfId="0" applyFont="1" applyFill="1" applyBorder="1" applyAlignment="1">
      <alignment horizontal="center"/>
    </xf>
    <xf numFmtId="0" fontId="23" fillId="3" borderId="3" xfId="0" applyFont="1" applyFill="1" applyBorder="1" applyAlignment="1">
      <alignment horizontal="center"/>
    </xf>
    <xf numFmtId="164" fontId="13" fillId="0" borderId="0" xfId="1" applyNumberFormat="1" applyFont="1"/>
    <xf numFmtId="0" fontId="23" fillId="0" borderId="0" xfId="0" applyFont="1" applyFill="1" applyBorder="1"/>
    <xf numFmtId="164" fontId="23" fillId="0" borderId="0" xfId="1" applyNumberFormat="1" applyFont="1" applyBorder="1"/>
    <xf numFmtId="0" fontId="23" fillId="0" borderId="0" xfId="0" applyFont="1" applyBorder="1"/>
    <xf numFmtId="0" fontId="13" fillId="0" borderId="0" xfId="0" applyFont="1" applyFill="1" applyBorder="1"/>
    <xf numFmtId="0" fontId="23" fillId="2" borderId="1" xfId="0" applyFont="1" applyFill="1" applyBorder="1" applyAlignment="1">
      <alignment wrapText="1"/>
    </xf>
    <xf numFmtId="1" fontId="23" fillId="2" borderId="1" xfId="4" applyNumberFormat="1" applyFont="1" applyFill="1" applyBorder="1" applyAlignment="1">
      <alignment horizontal="center" wrapText="1"/>
    </xf>
    <xf numFmtId="1" fontId="23" fillId="0" borderId="0" xfId="4" quotePrefix="1" applyNumberFormat="1" applyFont="1" applyFill="1" applyBorder="1" applyAlignment="1">
      <alignment horizontal="center" wrapText="1"/>
    </xf>
    <xf numFmtId="10" fontId="23" fillId="0" borderId="1" xfId="2" applyNumberFormat="1" applyFont="1" applyBorder="1" applyAlignment="1">
      <alignment horizontal="center"/>
    </xf>
    <xf numFmtId="170" fontId="23" fillId="0" borderId="1" xfId="0" applyNumberFormat="1" applyFont="1" applyFill="1" applyBorder="1" applyAlignment="1">
      <alignment horizontal="center"/>
    </xf>
    <xf numFmtId="0" fontId="23" fillId="0" borderId="0" xfId="0" applyFont="1" applyFill="1"/>
    <xf numFmtId="10" fontId="23" fillId="0" borderId="1" xfId="2" applyNumberFormat="1" applyFont="1" applyFill="1" applyBorder="1" applyAlignment="1">
      <alignment horizontal="center"/>
    </xf>
    <xf numFmtId="10" fontId="13" fillId="0" borderId="0" xfId="2" applyNumberFormat="1" applyFont="1" applyFill="1" applyBorder="1"/>
    <xf numFmtId="170" fontId="24" fillId="2" borderId="2" xfId="0" applyNumberFormat="1" applyFont="1" applyFill="1" applyBorder="1" applyAlignment="1">
      <alignment horizontal="center"/>
    </xf>
    <xf numFmtId="170" fontId="24" fillId="2" borderId="1" xfId="0" applyNumberFormat="1" applyFont="1" applyFill="1" applyBorder="1" applyAlignment="1">
      <alignment horizontal="center"/>
    </xf>
    <xf numFmtId="0" fontId="13" fillId="0" borderId="1" xfId="0" applyFont="1" applyBorder="1"/>
    <xf numFmtId="10" fontId="13" fillId="0" borderId="0" xfId="0" applyNumberFormat="1" applyFont="1" applyFill="1" applyBorder="1"/>
    <xf numFmtId="0" fontId="37" fillId="0" borderId="0" xfId="0" applyFont="1" applyFill="1" applyBorder="1"/>
    <xf numFmtId="164" fontId="23" fillId="0" borderId="0" xfId="1" quotePrefix="1" applyNumberFormat="1" applyFont="1" applyFill="1" applyBorder="1"/>
    <xf numFmtId="0" fontId="13" fillId="0" borderId="0" xfId="0" quotePrefix="1" applyFont="1" applyBorder="1"/>
    <xf numFmtId="0" fontId="13" fillId="0" borderId="0" xfId="0" quotePrefix="1" applyFont="1" applyFill="1"/>
    <xf numFmtId="0" fontId="26" fillId="0" borderId="0" xfId="0" applyFont="1"/>
    <xf numFmtId="164" fontId="13" fillId="0" borderId="0" xfId="0" applyNumberFormat="1" applyFont="1"/>
    <xf numFmtId="164" fontId="13" fillId="0" borderId="0" xfId="1" applyNumberFormat="1" applyFont="1" applyFill="1"/>
    <xf numFmtId="0" fontId="13" fillId="0" borderId="0" xfId="0" applyFont="1" applyFill="1" applyAlignment="1">
      <alignment horizontal="right"/>
    </xf>
    <xf numFmtId="0" fontId="23" fillId="0" borderId="1" xfId="0" applyFont="1" applyFill="1" applyBorder="1" applyAlignment="1"/>
    <xf numFmtId="0" fontId="23" fillId="0" borderId="1" xfId="0" applyFont="1" applyFill="1" applyBorder="1" applyAlignment="1">
      <alignment horizontal="left" wrapText="1"/>
    </xf>
    <xf numFmtId="0" fontId="23" fillId="0" borderId="1" xfId="0" applyFont="1" applyFill="1" applyBorder="1" applyAlignment="1">
      <alignment vertical="center" wrapText="1"/>
    </xf>
    <xf numFmtId="0" fontId="23" fillId="0" borderId="1" xfId="0" applyFont="1" applyFill="1" applyBorder="1" applyAlignment="1">
      <alignment vertical="center"/>
    </xf>
    <xf numFmtId="0" fontId="23" fillId="0" borderId="1" xfId="0" quotePrefix="1" applyNumberFormat="1" applyFont="1" applyFill="1" applyBorder="1" applyAlignment="1">
      <alignment horizontal="left" wrapText="1"/>
    </xf>
    <xf numFmtId="0" fontId="13" fillId="6" borderId="0" xfId="0" applyFont="1" applyFill="1" applyBorder="1"/>
    <xf numFmtId="0" fontId="13" fillId="6" borderId="0" xfId="0" applyFont="1" applyFill="1" applyBorder="1" applyAlignment="1">
      <alignment horizontal="left"/>
    </xf>
    <xf numFmtId="166" fontId="23" fillId="0" borderId="1" xfId="0" applyNumberFormat="1" applyFont="1" applyBorder="1" applyAlignment="1">
      <alignment horizontal="right" wrapText="1"/>
    </xf>
    <xf numFmtId="166" fontId="23" fillId="0" borderId="1" xfId="0" applyNumberFormat="1" applyFont="1" applyFill="1" applyBorder="1" applyAlignment="1">
      <alignment horizontal="left"/>
    </xf>
    <xf numFmtId="166" fontId="24" fillId="0" borderId="1" xfId="0" applyNumberFormat="1" applyFont="1" applyFill="1" applyBorder="1" applyAlignment="1">
      <alignment horizontal="left"/>
    </xf>
    <xf numFmtId="0" fontId="23" fillId="0" borderId="1" xfId="0" applyFont="1" applyFill="1" applyBorder="1" applyAlignment="1">
      <alignment horizontal="left"/>
    </xf>
    <xf numFmtId="0" fontId="24" fillId="0" borderId="1" xfId="0" applyFont="1" applyBorder="1" applyAlignment="1">
      <alignment horizontal="right" wrapText="1"/>
    </xf>
    <xf numFmtId="166" fontId="24" fillId="0" borderId="1" xfId="1" applyNumberFormat="1" applyFont="1" applyBorder="1" applyAlignment="1">
      <alignment horizontal="right" wrapText="1"/>
    </xf>
    <xf numFmtId="166" fontId="23" fillId="0" borderId="1" xfId="0" applyNumberFormat="1" applyFont="1" applyBorder="1"/>
    <xf numFmtId="0" fontId="13" fillId="0" borderId="1" xfId="0" applyFont="1" applyFill="1" applyBorder="1"/>
    <xf numFmtId="166" fontId="24" fillId="0" borderId="1" xfId="0" applyNumberFormat="1" applyFont="1" applyBorder="1"/>
    <xf numFmtId="0" fontId="13" fillId="0" borderId="1" xfId="0" quotePrefix="1" applyFont="1" applyBorder="1"/>
    <xf numFmtId="164" fontId="38" fillId="3" borderId="1" xfId="1" applyNumberFormat="1" applyFont="1" applyFill="1" applyBorder="1" applyAlignment="1">
      <alignment horizontal="center" wrapText="1"/>
    </xf>
    <xf numFmtId="0" fontId="38" fillId="2" borderId="1" xfId="0" applyFont="1" applyFill="1" applyBorder="1" applyAlignment="1">
      <alignment horizontal="center" wrapText="1"/>
    </xf>
    <xf numFmtId="0" fontId="13" fillId="0" borderId="1" xfId="0" applyFont="1" applyBorder="1" applyAlignment="1">
      <alignment wrapText="1"/>
    </xf>
    <xf numFmtId="164" fontId="13" fillId="0" borderId="1" xfId="1" applyNumberFormat="1" applyFont="1" applyBorder="1" applyAlignment="1">
      <alignment horizontal="right" vertical="center" wrapText="1"/>
    </xf>
    <xf numFmtId="0" fontId="37" fillId="0" borderId="1" xfId="0" applyFont="1" applyBorder="1" applyAlignment="1">
      <alignment wrapText="1"/>
    </xf>
    <xf numFmtId="0" fontId="39" fillId="0" borderId="0" xfId="0" applyFont="1" applyAlignment="1">
      <alignment vertical="center" wrapText="1"/>
    </xf>
    <xf numFmtId="3" fontId="39" fillId="0" borderId="0" xfId="0" applyNumberFormat="1" applyFont="1" applyAlignment="1">
      <alignment vertical="center" wrapText="1"/>
    </xf>
    <xf numFmtId="0" fontId="37" fillId="0" borderId="0" xfId="0" applyFont="1" applyAlignment="1">
      <alignment wrapText="1"/>
    </xf>
    <xf numFmtId="0" fontId="37" fillId="0" borderId="1" xfId="0" applyFont="1" applyFill="1" applyBorder="1" applyAlignment="1">
      <alignment wrapText="1"/>
    </xf>
    <xf numFmtId="0" fontId="13" fillId="0" borderId="1" xfId="0" applyFont="1" applyFill="1" applyBorder="1" applyAlignment="1">
      <alignment wrapText="1"/>
    </xf>
    <xf numFmtId="0" fontId="13" fillId="0" borderId="0" xfId="0" applyFont="1" applyFill="1" applyAlignment="1">
      <alignment wrapText="1"/>
    </xf>
    <xf numFmtId="0" fontId="13" fillId="0" borderId="1" xfId="0" quotePrefix="1" applyFont="1" applyBorder="1" applyAlignment="1">
      <alignment vertical="center" wrapText="1"/>
    </xf>
    <xf numFmtId="3" fontId="13" fillId="0" borderId="0" xfId="0" applyNumberFormat="1" applyFont="1" applyAlignment="1">
      <alignment wrapText="1"/>
    </xf>
    <xf numFmtId="0" fontId="13" fillId="0" borderId="0" xfId="0" quotePrefix="1" applyFont="1" applyAlignment="1">
      <alignment wrapText="1"/>
    </xf>
    <xf numFmtId="164" fontId="13" fillId="0" borderId="0" xfId="1" applyNumberFormat="1" applyFont="1" applyAlignment="1">
      <alignment wrapText="1"/>
    </xf>
    <xf numFmtId="3" fontId="37" fillId="0" borderId="0" xfId="0" applyNumberFormat="1" applyFont="1" applyFill="1" applyAlignment="1">
      <alignment wrapText="1"/>
    </xf>
    <xf numFmtId="43" fontId="13" fillId="0" borderId="0" xfId="1" applyFont="1" applyFill="1" applyAlignment="1">
      <alignment wrapText="1"/>
    </xf>
    <xf numFmtId="0" fontId="7" fillId="0" borderId="0" xfId="0" applyFont="1" applyBorder="1" applyAlignment="1">
      <alignment vertical="center" wrapText="1"/>
    </xf>
    <xf numFmtId="0" fontId="3" fillId="0" borderId="0" xfId="0" applyFont="1" applyBorder="1" applyAlignment="1">
      <alignment vertical="center" wrapText="1"/>
    </xf>
    <xf numFmtId="0" fontId="3" fillId="0" borderId="0" xfId="0" quotePrefix="1" applyFont="1" applyBorder="1" applyAlignment="1">
      <alignment vertical="center" wrapText="1"/>
    </xf>
    <xf numFmtId="0" fontId="13" fillId="0" borderId="0" xfId="0" applyFont="1" applyBorder="1" applyAlignment="1">
      <alignment horizontal="right" vertical="center" wrapText="1"/>
    </xf>
    <xf numFmtId="164" fontId="13" fillId="0" borderId="0" xfId="1" applyNumberFormat="1" applyFont="1" applyBorder="1" applyAlignment="1">
      <alignment horizontal="right" vertical="center" wrapText="1"/>
    </xf>
    <xf numFmtId="0" fontId="13" fillId="0" borderId="0" xfId="0" applyFont="1" applyBorder="1" applyAlignment="1">
      <alignment vertical="center" wrapText="1"/>
    </xf>
    <xf numFmtId="0" fontId="38" fillId="2" borderId="3" xfId="0" applyFont="1" applyFill="1" applyBorder="1" applyAlignment="1">
      <alignment horizontal="left" wrapText="1"/>
    </xf>
    <xf numFmtId="164" fontId="37" fillId="0" borderId="1" xfId="1" applyNumberFormat="1" applyFont="1" applyBorder="1" applyAlignment="1">
      <alignment horizontal="right" vertical="center" wrapText="1"/>
    </xf>
    <xf numFmtId="0" fontId="37" fillId="0" borderId="0" xfId="0" applyFont="1" applyAlignment="1">
      <alignment horizontal="right" wrapText="1"/>
    </xf>
    <xf numFmtId="164" fontId="37" fillId="0" borderId="0" xfId="1" applyNumberFormat="1" applyFont="1" applyAlignment="1">
      <alignment horizontal="right" vertical="center" wrapText="1"/>
    </xf>
    <xf numFmtId="0" fontId="13" fillId="0" borderId="0" xfId="0" applyFont="1" applyAlignment="1">
      <alignment vertical="center" wrapText="1"/>
    </xf>
    <xf numFmtId="164" fontId="13" fillId="0" borderId="0" xfId="1" applyNumberFormat="1" applyFont="1" applyAlignment="1">
      <alignment horizontal="right" vertical="center" wrapText="1"/>
    </xf>
    <xf numFmtId="0" fontId="13" fillId="0" borderId="0" xfId="0" applyFont="1" applyAlignment="1">
      <alignment horizontal="right" vertical="center" wrapText="1"/>
    </xf>
    <xf numFmtId="0" fontId="37" fillId="0" borderId="0" xfId="0" applyFont="1" applyAlignment="1"/>
    <xf numFmtId="0" fontId="13" fillId="0" borderId="0" xfId="0" applyFont="1" applyAlignment="1"/>
    <xf numFmtId="0" fontId="13" fillId="0" borderId="0" xfId="0" applyFont="1" applyAlignment="1">
      <alignment vertical="center"/>
    </xf>
    <xf numFmtId="0" fontId="22" fillId="6" borderId="0" xfId="0" applyFont="1" applyFill="1"/>
    <xf numFmtId="0" fontId="28" fillId="6" borderId="0" xfId="0" applyFont="1" applyFill="1"/>
    <xf numFmtId="164" fontId="13" fillId="0" borderId="1" xfId="1" applyNumberFormat="1" applyFont="1" applyBorder="1"/>
    <xf numFmtId="0" fontId="13" fillId="0" borderId="1" xfId="0" applyFont="1" applyBorder="1" applyAlignment="1">
      <alignment vertical="center"/>
    </xf>
    <xf numFmtId="164" fontId="37" fillId="0" borderId="1" xfId="0" applyNumberFormat="1" applyFont="1" applyBorder="1"/>
    <xf numFmtId="164" fontId="13" fillId="0" borderId="0" xfId="1" applyNumberFormat="1" applyFont="1" applyBorder="1"/>
    <xf numFmtId="0" fontId="14" fillId="0" borderId="0" xfId="0" applyFont="1" applyAlignment="1">
      <alignment vertical="center"/>
    </xf>
    <xf numFmtId="0" fontId="13" fillId="0" borderId="0" xfId="0" quotePrefix="1" applyFont="1"/>
    <xf numFmtId="0" fontId="41" fillId="0" borderId="0" xfId="0" applyFont="1"/>
    <xf numFmtId="0" fontId="13" fillId="6" borderId="0" xfId="0" applyFont="1" applyFill="1"/>
    <xf numFmtId="0" fontId="40" fillId="0" borderId="0" xfId="0" applyFont="1"/>
    <xf numFmtId="1" fontId="41" fillId="0" borderId="0" xfId="0" applyNumberFormat="1" applyFont="1"/>
    <xf numFmtId="0" fontId="37" fillId="0" borderId="0" xfId="0" applyFont="1"/>
    <xf numFmtId="0" fontId="13" fillId="0" borderId="0" xfId="0" applyNumberFormat="1" applyFont="1"/>
    <xf numFmtId="164" fontId="13" fillId="0" borderId="1" xfId="1" applyNumberFormat="1" applyFont="1" applyFill="1" applyBorder="1"/>
    <xf numFmtId="1" fontId="13" fillId="0" borderId="0" xfId="0" applyNumberFormat="1" applyFont="1"/>
    <xf numFmtId="1" fontId="13" fillId="0" borderId="1" xfId="0" applyNumberFormat="1" applyFont="1" applyBorder="1"/>
    <xf numFmtId="170" fontId="13" fillId="0" borderId="1" xfId="0" applyNumberFormat="1" applyFont="1" applyBorder="1"/>
    <xf numFmtId="164" fontId="37" fillId="0" borderId="1" xfId="1" applyNumberFormat="1" applyFont="1" applyBorder="1"/>
    <xf numFmtId="0" fontId="37" fillId="2" borderId="0" xfId="0" applyFont="1" applyFill="1"/>
    <xf numFmtId="0" fontId="13" fillId="2" borderId="1" xfId="0" applyFont="1" applyFill="1" applyBorder="1"/>
    <xf numFmtId="164" fontId="37" fillId="2" borderId="1" xfId="0" applyNumberFormat="1" applyFont="1" applyFill="1" applyBorder="1"/>
    <xf numFmtId="0" fontId="37" fillId="0" borderId="0" xfId="0" applyFont="1" applyAlignment="1">
      <alignment horizontal="right"/>
    </xf>
    <xf numFmtId="0" fontId="13" fillId="0" borderId="0" xfId="0" applyFont="1" applyBorder="1" applyAlignment="1"/>
    <xf numFmtId="9" fontId="13" fillId="6" borderId="0" xfId="0" applyNumberFormat="1" applyFont="1" applyFill="1"/>
    <xf numFmtId="1" fontId="13" fillId="0" borderId="0" xfId="0" applyNumberFormat="1" applyFont="1" applyFill="1"/>
    <xf numFmtId="171" fontId="13" fillId="0" borderId="1" xfId="1" applyNumberFormat="1" applyFont="1" applyBorder="1"/>
    <xf numFmtId="170" fontId="13" fillId="0" borderId="0" xfId="0" applyNumberFormat="1" applyFont="1"/>
    <xf numFmtId="165" fontId="13" fillId="6" borderId="0" xfId="0" quotePrefix="1" applyNumberFormat="1" applyFont="1" applyFill="1"/>
    <xf numFmtId="0" fontId="13" fillId="3" borderId="1" xfId="0" applyFont="1" applyFill="1" applyBorder="1"/>
    <xf numFmtId="0" fontId="13" fillId="3" borderId="1" xfId="0" applyFont="1" applyFill="1" applyBorder="1" applyAlignment="1">
      <alignment wrapText="1"/>
    </xf>
    <xf numFmtId="0" fontId="13" fillId="0" borderId="9" xfId="0" applyFont="1" applyFill="1" applyBorder="1"/>
    <xf numFmtId="0" fontId="13" fillId="0" borderId="9" xfId="0" applyFont="1" applyFill="1" applyBorder="1" applyAlignment="1">
      <alignment wrapText="1"/>
    </xf>
    <xf numFmtId="2" fontId="13" fillId="0" borderId="1" xfId="0" applyNumberFormat="1" applyFont="1" applyBorder="1"/>
    <xf numFmtId="166" fontId="13" fillId="0" borderId="1" xfId="0" applyNumberFormat="1" applyFont="1" applyBorder="1"/>
    <xf numFmtId="166" fontId="37" fillId="0" borderId="1" xfId="1" applyNumberFormat="1" applyFont="1" applyBorder="1"/>
    <xf numFmtId="166" fontId="37" fillId="0" borderId="1" xfId="0" applyNumberFormat="1" applyFont="1" applyBorder="1"/>
    <xf numFmtId="0" fontId="24" fillId="0" borderId="0" xfId="0" applyFont="1" applyFill="1"/>
    <xf numFmtId="1" fontId="13" fillId="0" borderId="1" xfId="0" quotePrefix="1" applyNumberFormat="1" applyFont="1" applyFill="1" applyBorder="1" applyAlignment="1">
      <alignment horizontal="right" wrapText="1"/>
    </xf>
    <xf numFmtId="165" fontId="13" fillId="0" borderId="0" xfId="0" applyNumberFormat="1" applyFont="1" applyFill="1" applyBorder="1"/>
    <xf numFmtId="0" fontId="40" fillId="0" borderId="0" xfId="0" applyFont="1" applyFill="1" applyBorder="1"/>
    <xf numFmtId="0" fontId="13" fillId="0" borderId="0" xfId="0" quotePrefix="1" applyFont="1" applyFill="1" applyBorder="1"/>
    <xf numFmtId="166" fontId="37" fillId="0" borderId="0" xfId="0" applyNumberFormat="1" applyFont="1"/>
    <xf numFmtId="0" fontId="37" fillId="0" borderId="0" xfId="0" applyFont="1" applyBorder="1"/>
    <xf numFmtId="166" fontId="13" fillId="0" borderId="0" xfId="0" applyNumberFormat="1" applyFont="1" applyBorder="1"/>
    <xf numFmtId="166" fontId="13" fillId="0" borderId="0" xfId="0" applyNumberFormat="1" applyFont="1"/>
    <xf numFmtId="166" fontId="37" fillId="0" borderId="0" xfId="0" applyNumberFormat="1" applyFont="1" applyBorder="1"/>
    <xf numFmtId="164" fontId="13" fillId="6" borderId="0" xfId="1" applyNumberFormat="1" applyFont="1" applyFill="1"/>
    <xf numFmtId="166" fontId="13" fillId="6" borderId="0" xfId="1" applyNumberFormat="1" applyFont="1" applyFill="1"/>
    <xf numFmtId="0" fontId="37" fillId="0" borderId="1" xfId="0" applyFont="1" applyBorder="1"/>
    <xf numFmtId="166" fontId="13" fillId="0" borderId="1" xfId="0" applyNumberFormat="1" applyFont="1" applyBorder="1" applyAlignment="1">
      <alignment horizontal="right" wrapText="1"/>
    </xf>
    <xf numFmtId="166" fontId="13" fillId="0" borderId="14" xfId="0" applyNumberFormat="1" applyFont="1" applyBorder="1" applyAlignment="1">
      <alignment horizontal="right" wrapText="1"/>
    </xf>
    <xf numFmtId="164" fontId="13" fillId="0" borderId="1" xfId="0" applyNumberFormat="1" applyFont="1" applyBorder="1"/>
    <xf numFmtId="166" fontId="37" fillId="0" borderId="0" xfId="1" applyNumberFormat="1" applyFont="1" applyAlignment="1">
      <alignment horizontal="right" vertical="center" wrapText="1"/>
    </xf>
    <xf numFmtId="164" fontId="13" fillId="0" borderId="0" xfId="1" applyNumberFormat="1" applyFont="1" applyAlignment="1">
      <alignment horizontal="left" vertical="center"/>
    </xf>
    <xf numFmtId="166" fontId="13" fillId="0" borderId="15" xfId="0" applyNumberFormat="1" applyFont="1" applyBorder="1" applyAlignment="1">
      <alignment horizontal="right" wrapText="1"/>
    </xf>
    <xf numFmtId="0" fontId="22" fillId="6" borderId="4" xfId="0" applyFont="1" applyFill="1" applyBorder="1"/>
    <xf numFmtId="0" fontId="28" fillId="6" borderId="5" xfId="0" applyFont="1" applyFill="1" applyBorder="1"/>
    <xf numFmtId="164" fontId="23" fillId="0" borderId="0" xfId="0" applyNumberFormat="1" applyFont="1" applyFill="1" applyBorder="1"/>
    <xf numFmtId="164" fontId="23" fillId="0" borderId="0" xfId="1" applyNumberFormat="1" applyFont="1" applyFill="1" applyBorder="1"/>
    <xf numFmtId="164" fontId="23" fillId="0" borderId="0" xfId="1" quotePrefix="1" applyNumberFormat="1" applyFont="1" applyFill="1" applyBorder="1" applyAlignment="1">
      <alignment wrapText="1"/>
    </xf>
    <xf numFmtId="164" fontId="24" fillId="0" borderId="0" xfId="0" applyNumberFormat="1" applyFont="1" applyFill="1"/>
    <xf numFmtId="0" fontId="23" fillId="0" borderId="1" xfId="0" applyFont="1" applyBorder="1" applyAlignment="1">
      <alignment vertical="center"/>
    </xf>
    <xf numFmtId="0" fontId="23" fillId="0" borderId="0" xfId="0" applyFont="1" applyBorder="1" applyAlignment="1">
      <alignment vertical="center"/>
    </xf>
    <xf numFmtId="166" fontId="24" fillId="0" borderId="0" xfId="1" applyNumberFormat="1" applyFont="1" applyBorder="1" applyAlignment="1">
      <alignment horizontal="right" wrapText="1"/>
    </xf>
    <xf numFmtId="0" fontId="13" fillId="0" borderId="0" xfId="0" applyFont="1" applyBorder="1" applyAlignment="1">
      <alignment horizontal="left" wrapText="1"/>
    </xf>
    <xf numFmtId="0" fontId="13" fillId="2" borderId="1" xfId="0" applyFont="1" applyFill="1" applyBorder="1" applyAlignment="1">
      <alignment horizontal="left" wrapText="1"/>
    </xf>
    <xf numFmtId="166" fontId="23" fillId="2" borderId="1" xfId="0" applyNumberFormat="1" applyFont="1" applyFill="1" applyBorder="1" applyAlignment="1">
      <alignment wrapText="1"/>
    </xf>
    <xf numFmtId="170" fontId="24" fillId="0" borderId="1" xfId="0" applyNumberFormat="1" applyFont="1" applyFill="1" applyBorder="1" applyAlignment="1">
      <alignment horizontal="center"/>
    </xf>
    <xf numFmtId="171" fontId="8" fillId="0" borderId="1" xfId="1" applyNumberFormat="1" applyFont="1" applyBorder="1" applyAlignment="1">
      <alignment wrapText="1"/>
    </xf>
    <xf numFmtId="171" fontId="16" fillId="0" borderId="1" xfId="1" applyNumberFormat="1" applyFont="1" applyFill="1" applyBorder="1" applyAlignment="1">
      <alignment wrapText="1"/>
    </xf>
    <xf numFmtId="0" fontId="8" fillId="0" borderId="1" xfId="1" applyNumberFormat="1" applyFont="1" applyBorder="1"/>
    <xf numFmtId="164" fontId="44" fillId="0" borderId="0" xfId="0" applyNumberFormat="1" applyFont="1"/>
    <xf numFmtId="164" fontId="46" fillId="0" borderId="0" xfId="1" applyNumberFormat="1" applyFont="1"/>
    <xf numFmtId="164" fontId="23" fillId="0" borderId="1" xfId="1" applyNumberFormat="1" applyFont="1" applyBorder="1"/>
    <xf numFmtId="174" fontId="24" fillId="2" borderId="1" xfId="2" applyNumberFormat="1" applyFont="1" applyFill="1" applyBorder="1" applyAlignment="1">
      <alignment horizontal="center"/>
    </xf>
    <xf numFmtId="164" fontId="16" fillId="0" borderId="0" xfId="0" applyNumberFormat="1" applyFont="1" applyFill="1" applyBorder="1" applyAlignment="1">
      <alignment horizontal="center"/>
    </xf>
    <xf numFmtId="1" fontId="23" fillId="2" borderId="0" xfId="4" applyNumberFormat="1" applyFont="1" applyFill="1" applyBorder="1" applyAlignment="1"/>
    <xf numFmtId="164" fontId="45" fillId="0" borderId="0" xfId="1" applyNumberFormat="1" applyFont="1" applyAlignment="1">
      <alignment wrapText="1"/>
    </xf>
    <xf numFmtId="0" fontId="16" fillId="0" borderId="0" xfId="0" applyFont="1" applyFill="1" applyBorder="1" applyAlignment="1">
      <alignment horizontal="center"/>
    </xf>
    <xf numFmtId="164" fontId="16" fillId="0" borderId="0" xfId="0" applyNumberFormat="1" applyFont="1" applyFill="1" applyBorder="1"/>
    <xf numFmtId="164" fontId="8" fillId="0" borderId="0" xfId="1" applyNumberFormat="1" applyFont="1" applyFill="1" applyBorder="1"/>
    <xf numFmtId="164" fontId="46" fillId="6" borderId="0" xfId="1" applyNumberFormat="1" applyFont="1" applyFill="1"/>
    <xf numFmtId="164" fontId="8" fillId="6" borderId="0" xfId="1" applyNumberFormat="1" applyFont="1" applyFill="1"/>
    <xf numFmtId="164" fontId="16" fillId="6" borderId="0" xfId="0" applyNumberFormat="1" applyFont="1" applyFill="1"/>
    <xf numFmtId="164" fontId="16" fillId="6" borderId="0" xfId="0" applyNumberFormat="1" applyFont="1" applyFill="1" applyBorder="1"/>
    <xf numFmtId="164" fontId="16" fillId="6" borderId="0" xfId="0" applyNumberFormat="1" applyFont="1" applyFill="1" applyBorder="1" applyAlignment="1">
      <alignment horizontal="center"/>
    </xf>
    <xf numFmtId="0" fontId="16" fillId="6" borderId="0" xfId="0" applyFont="1" applyFill="1" applyBorder="1" applyAlignment="1">
      <alignment horizontal="center"/>
    </xf>
    <xf numFmtId="164" fontId="8" fillId="6" borderId="0" xfId="1" applyNumberFormat="1" applyFont="1" applyFill="1" applyBorder="1"/>
    <xf numFmtId="164" fontId="8" fillId="0" borderId="0" xfId="0" applyNumberFormat="1" applyFont="1"/>
    <xf numFmtId="164" fontId="8" fillId="0" borderId="0" xfId="0" applyNumberFormat="1" applyFont="1" applyFill="1" applyBorder="1"/>
    <xf numFmtId="164" fontId="23" fillId="0" borderId="0" xfId="1" applyNumberFormat="1" applyFont="1" applyAlignment="1">
      <alignment horizontal="right"/>
    </xf>
    <xf numFmtId="164" fontId="22" fillId="6" borderId="0" xfId="1" applyNumberFormat="1" applyFont="1" applyFill="1"/>
    <xf numFmtId="0" fontId="33" fillId="6" borderId="0" xfId="0" applyFont="1" applyFill="1" applyBorder="1" applyAlignment="1"/>
    <xf numFmtId="0" fontId="32" fillId="6" borderId="0" xfId="0" applyFont="1" applyFill="1" applyBorder="1" applyAlignment="1"/>
    <xf numFmtId="0" fontId="0" fillId="0" borderId="0" xfId="0" applyFont="1"/>
    <xf numFmtId="164" fontId="23" fillId="0" borderId="17" xfId="1" applyNumberFormat="1" applyFont="1" applyBorder="1"/>
    <xf numFmtId="164" fontId="46" fillId="0" borderId="17" xfId="1" applyNumberFormat="1" applyFont="1" applyBorder="1"/>
    <xf numFmtId="164" fontId="23" fillId="0" borderId="18" xfId="1" applyNumberFormat="1" applyFont="1" applyBorder="1"/>
    <xf numFmtId="166" fontId="23" fillId="0" borderId="18" xfId="1" applyNumberFormat="1" applyFont="1" applyBorder="1"/>
    <xf numFmtId="10" fontId="8" fillId="0" borderId="18" xfId="2" applyNumberFormat="1" applyFont="1" applyBorder="1"/>
    <xf numFmtId="166" fontId="23" fillId="0" borderId="19" xfId="1" applyNumberFormat="1" applyFont="1" applyBorder="1"/>
    <xf numFmtId="164" fontId="0" fillId="0" borderId="0" xfId="0" applyNumberFormat="1"/>
    <xf numFmtId="0" fontId="8" fillId="0" borderId="0" xfId="0" applyFont="1" applyBorder="1"/>
    <xf numFmtId="164" fontId="16" fillId="2" borderId="1" xfId="1" applyNumberFormat="1" applyFont="1" applyFill="1" applyBorder="1" applyAlignment="1">
      <alignment vertical="top" wrapText="1"/>
    </xf>
    <xf numFmtId="164" fontId="24" fillId="2" borderId="1" xfId="1" applyNumberFormat="1" applyFont="1" applyFill="1" applyBorder="1" applyAlignment="1">
      <alignment vertical="top" wrapText="1"/>
    </xf>
    <xf numFmtId="164" fontId="16" fillId="2" borderId="1" xfId="1" applyNumberFormat="1" applyFont="1" applyFill="1" applyBorder="1" applyAlignment="1">
      <alignment vertical="top"/>
    </xf>
    <xf numFmtId="0" fontId="21" fillId="0" borderId="1" xfId="1" applyNumberFormat="1" applyFont="1" applyBorder="1"/>
    <xf numFmtId="164" fontId="13" fillId="0" borderId="0" xfId="0" applyNumberFormat="1" applyFont="1" applyFill="1"/>
    <xf numFmtId="0" fontId="13" fillId="0" borderId="0" xfId="0" applyFont="1" applyAlignment="1">
      <alignment horizontal="center"/>
    </xf>
    <xf numFmtId="0" fontId="48" fillId="0" borderId="0" xfId="0" applyFont="1"/>
    <xf numFmtId="164" fontId="4" fillId="0" borderId="0" xfId="1" applyNumberFormat="1" applyFont="1" applyBorder="1"/>
    <xf numFmtId="0" fontId="49" fillId="0" borderId="0" xfId="0" applyFont="1"/>
    <xf numFmtId="0" fontId="0" fillId="5" borderId="0" xfId="0" applyFill="1" applyAlignment="1">
      <alignment wrapText="1"/>
    </xf>
    <xf numFmtId="0" fontId="13" fillId="5" borderId="0" xfId="0" applyFont="1" applyFill="1"/>
    <xf numFmtId="0" fontId="0" fillId="5" borderId="0" xfId="0" applyFill="1"/>
    <xf numFmtId="0" fontId="0" fillId="5" borderId="0" xfId="0" applyFill="1" applyAlignment="1">
      <alignment horizontal="left"/>
    </xf>
    <xf numFmtId="0" fontId="0" fillId="5" borderId="0" xfId="0" applyFill="1" applyBorder="1" applyAlignment="1">
      <alignment horizontal="left"/>
    </xf>
    <xf numFmtId="0" fontId="8" fillId="5" borderId="0" xfId="0" quotePrefix="1" applyFont="1" applyFill="1" applyBorder="1" applyAlignment="1">
      <alignment horizontal="left" vertical="center"/>
    </xf>
    <xf numFmtId="0" fontId="0" fillId="5" borderId="0" xfId="0" applyFill="1" applyBorder="1" applyAlignment="1">
      <alignment vertical="center" wrapText="1"/>
    </xf>
    <xf numFmtId="0" fontId="0" fillId="5" borderId="0" xfId="0" applyFill="1" applyBorder="1" applyAlignment="1">
      <alignment horizontal="right" vertical="center" wrapText="1"/>
    </xf>
    <xf numFmtId="172" fontId="0" fillId="5" borderId="0" xfId="0" applyNumberFormat="1" applyFill="1" applyBorder="1" applyAlignment="1">
      <alignment vertical="center" wrapText="1"/>
    </xf>
    <xf numFmtId="0" fontId="8" fillId="5" borderId="0" xfId="0" applyFont="1" applyFill="1"/>
    <xf numFmtId="0" fontId="8" fillId="5" borderId="0" xfId="0" applyFont="1" applyFill="1" applyBorder="1" applyAlignment="1">
      <alignment horizontal="left" vertical="center" wrapText="1"/>
    </xf>
    <xf numFmtId="0" fontId="0" fillId="5" borderId="0" xfId="0" applyFill="1" applyAlignment="1">
      <alignment horizontal="right" wrapText="1"/>
    </xf>
    <xf numFmtId="0" fontId="0" fillId="5" borderId="0" xfId="0" applyFill="1" applyBorder="1" applyAlignment="1">
      <alignment horizontal="right" wrapText="1"/>
    </xf>
    <xf numFmtId="0" fontId="51" fillId="5" borderId="0" xfId="0" applyFont="1" applyFill="1"/>
    <xf numFmtId="0" fontId="8" fillId="5" borderId="0" xfId="0" applyFont="1" applyFill="1" applyBorder="1" applyAlignment="1">
      <alignment horizontal="left"/>
    </xf>
    <xf numFmtId="0" fontId="8" fillId="5" borderId="2" xfId="0" quotePrefix="1" applyFont="1" applyFill="1" applyBorder="1" applyAlignment="1">
      <alignment vertical="top" wrapText="1"/>
    </xf>
    <xf numFmtId="0" fontId="8" fillId="5" borderId="10" xfId="0" applyFont="1" applyFill="1" applyBorder="1"/>
    <xf numFmtId="0" fontId="8" fillId="5" borderId="3" xfId="0" applyFont="1" applyFill="1" applyBorder="1" applyAlignment="1">
      <alignment horizontal="left"/>
    </xf>
    <xf numFmtId="0" fontId="23" fillId="5" borderId="2" xfId="0" applyFont="1" applyFill="1" applyBorder="1"/>
    <xf numFmtId="0" fontId="8" fillId="5" borderId="2" xfId="0" quotePrefix="1" applyFont="1" applyFill="1" applyBorder="1" applyAlignment="1">
      <alignment horizontal="left" vertical="top"/>
    </xf>
    <xf numFmtId="0" fontId="8" fillId="5" borderId="0" xfId="0" quotePrefix="1" applyFont="1" applyFill="1" applyBorder="1" applyAlignment="1">
      <alignment horizontal="left" vertical="top"/>
    </xf>
    <xf numFmtId="0" fontId="8" fillId="5" borderId="0" xfId="0" quotePrefix="1" applyFont="1" applyFill="1" applyBorder="1" applyAlignment="1">
      <alignment horizontal="left" vertical="top" wrapText="1"/>
    </xf>
    <xf numFmtId="0" fontId="0" fillId="5" borderId="0" xfId="0" applyFill="1" applyAlignment="1">
      <alignment horizontal="right" vertical="center" wrapText="1"/>
    </xf>
    <xf numFmtId="164" fontId="0" fillId="5" borderId="0" xfId="1" applyNumberFormat="1" applyFont="1" applyFill="1" applyAlignment="1">
      <alignment horizontal="right" vertical="center" wrapText="1"/>
    </xf>
    <xf numFmtId="0" fontId="0" fillId="5" borderId="0" xfId="0" applyFill="1" applyAlignment="1">
      <alignment vertical="center"/>
    </xf>
    <xf numFmtId="0" fontId="18" fillId="6" borderId="0" xfId="0" applyFont="1" applyFill="1" applyBorder="1" applyAlignment="1">
      <alignment horizontal="left" wrapText="1" indent="1"/>
    </xf>
    <xf numFmtId="0" fontId="18" fillId="6" borderId="0" xfId="0" quotePrefix="1" applyFont="1" applyFill="1" applyBorder="1" applyAlignment="1">
      <alignment horizontal="left" vertical="top" wrapText="1" indent="1"/>
    </xf>
    <xf numFmtId="0" fontId="0" fillId="5" borderId="0" xfId="0" applyFont="1" applyFill="1" applyAlignment="1">
      <alignment vertical="center"/>
    </xf>
    <xf numFmtId="0" fontId="0" fillId="5" borderId="0" xfId="0" applyFill="1" applyAlignment="1">
      <alignment vertical="center" wrapText="1"/>
    </xf>
    <xf numFmtId="0" fontId="0" fillId="5" borderId="0" xfId="0" quotePrefix="1" applyFont="1" applyFill="1" applyAlignment="1">
      <alignment vertical="center"/>
    </xf>
    <xf numFmtId="0" fontId="0" fillId="5" borderId="0" xfId="0" quotePrefix="1" applyFill="1" applyAlignment="1">
      <alignment vertical="center"/>
    </xf>
    <xf numFmtId="0" fontId="12" fillId="5" borderId="0" xfId="3" applyFont="1" applyFill="1" applyAlignment="1" applyProtection="1">
      <alignment vertical="center"/>
    </xf>
    <xf numFmtId="0" fontId="13" fillId="5" borderId="0" xfId="0" applyFont="1" applyFill="1" applyAlignment="1">
      <alignment vertical="center" wrapText="1"/>
    </xf>
    <xf numFmtId="0" fontId="11" fillId="5" borderId="0" xfId="0" quotePrefix="1" applyFont="1" applyFill="1" applyAlignment="1">
      <alignment horizontal="left" vertical="center"/>
    </xf>
    <xf numFmtId="1" fontId="10" fillId="5" borderId="0" xfId="3" applyNumberFormat="1" applyFill="1" applyBorder="1" applyAlignment="1" applyProtection="1">
      <alignment horizontal="left" vertical="center"/>
    </xf>
    <xf numFmtId="0" fontId="10" fillId="5" borderId="0" xfId="3" applyFill="1" applyAlignment="1" applyProtection="1">
      <alignment vertical="center"/>
    </xf>
    <xf numFmtId="164" fontId="8" fillId="0" borderId="1" xfId="1" applyNumberFormat="1" applyFont="1" applyBorder="1" applyAlignment="1"/>
    <xf numFmtId="0" fontId="4" fillId="0" borderId="1" xfId="0" applyFont="1" applyBorder="1"/>
    <xf numFmtId="164" fontId="52" fillId="2" borderId="1" xfId="1" quotePrefix="1" applyNumberFormat="1" applyFont="1" applyFill="1" applyBorder="1" applyAlignment="1">
      <alignment vertical="center" wrapText="1"/>
    </xf>
    <xf numFmtId="164" fontId="24" fillId="0" borderId="0" xfId="0" applyNumberFormat="1" applyFont="1" applyFill="1" applyBorder="1" applyAlignment="1">
      <alignment horizontal="center"/>
    </xf>
    <xf numFmtId="0" fontId="24" fillId="0" borderId="0" xfId="0" applyFont="1" applyFill="1" applyBorder="1" applyAlignment="1">
      <alignment horizontal="center"/>
    </xf>
    <xf numFmtId="164" fontId="24" fillId="0" borderId="0" xfId="0" applyNumberFormat="1" applyFont="1" applyFill="1" applyBorder="1"/>
    <xf numFmtId="164" fontId="58" fillId="0" borderId="17" xfId="1" applyNumberFormat="1" applyFont="1" applyBorder="1"/>
    <xf numFmtId="0" fontId="23" fillId="0" borderId="0" xfId="0" applyFont="1" applyFill="1" applyBorder="1" applyAlignment="1"/>
    <xf numFmtId="0" fontId="23" fillId="0" borderId="0" xfId="0" applyFont="1" applyFill="1" applyBorder="1" applyAlignment="1">
      <alignment wrapText="1"/>
    </xf>
    <xf numFmtId="0" fontId="21" fillId="0" borderId="0" xfId="0" applyFont="1" applyFill="1" applyBorder="1" applyAlignment="1">
      <alignment wrapText="1"/>
    </xf>
    <xf numFmtId="2" fontId="32" fillId="0" borderId="1" xfId="0" applyNumberFormat="1" applyFont="1" applyBorder="1"/>
    <xf numFmtId="0" fontId="1" fillId="3" borderId="1" xfId="0" applyFont="1" applyFill="1" applyBorder="1" applyAlignment="1">
      <alignment horizontal="right"/>
    </xf>
    <xf numFmtId="0" fontId="0" fillId="3" borderId="1" xfId="0" applyFill="1" applyBorder="1" applyAlignment="1">
      <alignment wrapText="1"/>
    </xf>
    <xf numFmtId="2" fontId="0" fillId="0" borderId="1" xfId="0" applyNumberFormat="1" applyBorder="1"/>
    <xf numFmtId="0" fontId="37" fillId="0" borderId="0" xfId="0" applyFont="1" applyBorder="1" applyAlignment="1">
      <alignment wrapText="1"/>
    </xf>
    <xf numFmtId="166" fontId="0" fillId="0" borderId="0" xfId="0" applyNumberFormat="1"/>
    <xf numFmtId="166" fontId="37" fillId="0" borderId="1" xfId="0" applyNumberFormat="1" applyFont="1" applyBorder="1" applyAlignment="1">
      <alignment wrapText="1"/>
    </xf>
    <xf numFmtId="166" fontId="37" fillId="2" borderId="1" xfId="0" applyNumberFormat="1" applyFont="1" applyFill="1" applyBorder="1"/>
    <xf numFmtId="165" fontId="13" fillId="6" borderId="0" xfId="0" applyNumberFormat="1" applyFont="1" applyFill="1"/>
    <xf numFmtId="166" fontId="37" fillId="3" borderId="1" xfId="0" applyNumberFormat="1" applyFont="1" applyFill="1" applyBorder="1"/>
    <xf numFmtId="164" fontId="16" fillId="0" borderId="1" xfId="1" applyNumberFormat="1" applyFont="1" applyFill="1" applyBorder="1"/>
    <xf numFmtId="164" fontId="8" fillId="0" borderId="0" xfId="1" applyNumberFormat="1" applyFont="1" applyFill="1"/>
    <xf numFmtId="164" fontId="23" fillId="0" borderId="0" xfId="1" applyNumberFormat="1" applyFont="1" applyFill="1"/>
    <xf numFmtId="0" fontId="23" fillId="0" borderId="0" xfId="0" quotePrefix="1" applyFont="1" applyFill="1" applyAlignment="1"/>
    <xf numFmtId="0" fontId="23" fillId="0" borderId="0" xfId="0" applyFont="1" applyFill="1" applyAlignment="1"/>
    <xf numFmtId="170" fontId="23" fillId="0" borderId="0" xfId="0" applyNumberFormat="1" applyFont="1"/>
    <xf numFmtId="0" fontId="41" fillId="0" borderId="0" xfId="0" applyFont="1" applyFill="1"/>
    <xf numFmtId="0" fontId="37" fillId="0" borderId="0" xfId="0" applyFont="1" applyFill="1"/>
    <xf numFmtId="0" fontId="8" fillId="5" borderId="2" xfId="0" applyFont="1" applyFill="1" applyBorder="1" applyAlignment="1">
      <alignment horizontal="left" vertical="top"/>
    </xf>
    <xf numFmtId="0" fontId="0" fillId="0" borderId="1" xfId="0" applyFont="1" applyBorder="1" applyAlignment="1">
      <alignment vertical="center"/>
    </xf>
    <xf numFmtId="0" fontId="0" fillId="0" borderId="1" xfId="0" quotePrefix="1" applyFont="1" applyFill="1" applyBorder="1" applyAlignment="1">
      <alignment vertical="center" wrapText="1"/>
    </xf>
    <xf numFmtId="0" fontId="0" fillId="0" borderId="0" xfId="0" applyFont="1" applyAlignment="1">
      <alignment wrapText="1"/>
    </xf>
    <xf numFmtId="0" fontId="0" fillId="0" borderId="1" xfId="0" applyFont="1" applyBorder="1"/>
    <xf numFmtId="0" fontId="0" fillId="0" borderId="3" xfId="0" quotePrefix="1" applyFont="1" applyFill="1" applyBorder="1" applyAlignment="1">
      <alignment vertical="center" wrapText="1"/>
    </xf>
    <xf numFmtId="0" fontId="0" fillId="0" borderId="1" xfId="0" applyFont="1" applyBorder="1" applyAlignment="1">
      <alignment wrapText="1"/>
    </xf>
    <xf numFmtId="0" fontId="0" fillId="0" borderId="2" xfId="0" applyFont="1" applyBorder="1"/>
    <xf numFmtId="0" fontId="0" fillId="0" borderId="3" xfId="0" applyFont="1" applyBorder="1"/>
    <xf numFmtId="0" fontId="0" fillId="0" borderId="1" xfId="0" quotePrefix="1" applyFont="1" applyBorder="1"/>
    <xf numFmtId="0" fontId="0" fillId="0" borderId="3" xfId="0" applyFont="1" applyFill="1" applyBorder="1"/>
    <xf numFmtId="0" fontId="0" fillId="0" borderId="1" xfId="0" applyFont="1" applyBorder="1" applyAlignment="1">
      <alignment horizontal="left" vertical="center" wrapText="1"/>
    </xf>
    <xf numFmtId="0" fontId="0" fillId="0" borderId="1" xfId="0" applyFont="1" applyBorder="1" applyAlignment="1">
      <alignment horizontal="right" vertical="center" wrapText="1"/>
    </xf>
    <xf numFmtId="171" fontId="8" fillId="0" borderId="1" xfId="1" applyNumberFormat="1" applyFont="1" applyFill="1" applyBorder="1" applyAlignment="1">
      <alignment wrapText="1"/>
    </xf>
    <xf numFmtId="166" fontId="37" fillId="0" borderId="3" xfId="1" applyNumberFormat="1" applyFont="1" applyBorder="1"/>
    <xf numFmtId="166" fontId="37" fillId="0" borderId="3" xfId="0" applyNumberFormat="1" applyFont="1" applyBorder="1"/>
    <xf numFmtId="0" fontId="23" fillId="0" borderId="2" xfId="0" applyFont="1" applyFill="1" applyBorder="1" applyAlignment="1">
      <alignment vertical="center"/>
    </xf>
    <xf numFmtId="0" fontId="23" fillId="0" borderId="1" xfId="0" quotePrefix="1" applyFont="1" applyFill="1" applyBorder="1" applyAlignment="1">
      <alignment vertical="center" wrapText="1"/>
    </xf>
    <xf numFmtId="0" fontId="3" fillId="0" borderId="1" xfId="0" applyFont="1" applyFill="1" applyBorder="1" applyAlignment="1">
      <alignment vertical="center"/>
    </xf>
    <xf numFmtId="0" fontId="13" fillId="0" borderId="1" xfId="0" applyFont="1" applyFill="1" applyBorder="1" applyAlignment="1">
      <alignment vertical="center"/>
    </xf>
    <xf numFmtId="0" fontId="23" fillId="0" borderId="1" xfId="0" applyFont="1" applyFill="1" applyBorder="1" applyAlignment="1">
      <alignment horizontal="left" vertical="center" wrapText="1"/>
    </xf>
    <xf numFmtId="169" fontId="23" fillId="9" borderId="1" xfId="0" applyNumberFormat="1" applyFont="1" applyFill="1" applyBorder="1" applyAlignment="1">
      <alignment horizontal="right" vertical="center" indent="1"/>
    </xf>
    <xf numFmtId="0" fontId="23" fillId="9" borderId="1" xfId="0" applyNumberFormat="1" applyFont="1" applyFill="1" applyBorder="1" applyAlignment="1">
      <alignment horizontal="right" vertical="center" indent="1"/>
    </xf>
    <xf numFmtId="166" fontId="23" fillId="9" borderId="1" xfId="0" applyNumberFormat="1" applyFont="1" applyFill="1" applyBorder="1" applyAlignment="1">
      <alignment horizontal="right" vertical="center" indent="1"/>
    </xf>
    <xf numFmtId="9" fontId="23" fillId="9" borderId="1" xfId="0" applyNumberFormat="1" applyFont="1" applyFill="1" applyBorder="1" applyAlignment="1">
      <alignment horizontal="right" vertical="center" indent="1"/>
    </xf>
    <xf numFmtId="165" fontId="23" fillId="9" borderId="1" xfId="0" applyNumberFormat="1" applyFont="1" applyFill="1" applyBorder="1" applyAlignment="1">
      <alignment horizontal="right" vertical="center" indent="1"/>
    </xf>
    <xf numFmtId="0" fontId="0" fillId="0" borderId="0" xfId="0" applyFill="1" applyAlignment="1">
      <alignment wrapText="1"/>
    </xf>
    <xf numFmtId="0" fontId="16" fillId="0" borderId="12" xfId="1" applyNumberFormat="1" applyFont="1" applyBorder="1"/>
    <xf numFmtId="164" fontId="23" fillId="0" borderId="12" xfId="1" applyNumberFormat="1" applyFont="1" applyBorder="1" applyAlignment="1"/>
    <xf numFmtId="164" fontId="8" fillId="0" borderId="12" xfId="1" applyNumberFormat="1" applyFont="1" applyBorder="1"/>
    <xf numFmtId="164" fontId="8" fillId="0" borderId="0" xfId="1" applyNumberFormat="1" applyFont="1" applyBorder="1"/>
    <xf numFmtId="0" fontId="0" fillId="0" borderId="8" xfId="0" applyBorder="1"/>
    <xf numFmtId="0" fontId="0" fillId="5" borderId="0" xfId="0" applyFont="1" applyFill="1" applyBorder="1"/>
    <xf numFmtId="0" fontId="23" fillId="0" borderId="1" xfId="0" quotePrefix="1" applyNumberFormat="1" applyFont="1" applyFill="1" applyBorder="1" applyAlignment="1">
      <alignment horizontal="left" vertical="center" wrapText="1"/>
    </xf>
    <xf numFmtId="0" fontId="60" fillId="5" borderId="0" xfId="3" applyFont="1" applyFill="1" applyAlignment="1" applyProtection="1">
      <alignment vertical="center"/>
    </xf>
    <xf numFmtId="1" fontId="60" fillId="5" borderId="0" xfId="3" quotePrefix="1" applyNumberFormat="1" applyFont="1" applyFill="1" applyBorder="1" applyAlignment="1" applyProtection="1">
      <alignment horizontal="left" vertical="center"/>
    </xf>
    <xf numFmtId="0" fontId="13" fillId="0" borderId="1" xfId="0" applyFont="1" applyBorder="1" applyAlignment="1">
      <alignment horizontal="center" textRotation="75" wrapText="1"/>
    </xf>
    <xf numFmtId="1" fontId="13" fillId="0" borderId="1" xfId="4" applyNumberFormat="1" applyFont="1" applyBorder="1" applyAlignment="1">
      <alignment horizontal="center" textRotation="75" wrapText="1"/>
    </xf>
    <xf numFmtId="1" fontId="13" fillId="0" borderId="1" xfId="4" applyNumberFormat="1" applyFont="1" applyBorder="1" applyAlignment="1">
      <alignment horizontal="center" textRotation="77" wrapText="1"/>
    </xf>
    <xf numFmtId="1" fontId="24" fillId="0" borderId="8" xfId="4" applyNumberFormat="1" applyFont="1" applyBorder="1" applyAlignment="1">
      <alignment horizontal="left"/>
    </xf>
    <xf numFmtId="1" fontId="13" fillId="0" borderId="0" xfId="4" applyNumberFormat="1" applyFont="1" applyBorder="1" applyAlignment="1"/>
    <xf numFmtId="167" fontId="13" fillId="0" borderId="0" xfId="4" applyNumberFormat="1" applyFont="1" applyFill="1" applyBorder="1" applyAlignment="1">
      <alignment horizontal="left"/>
    </xf>
    <xf numFmtId="1" fontId="13" fillId="0" borderId="8" xfId="4" applyNumberFormat="1" applyFont="1" applyBorder="1" applyAlignment="1"/>
    <xf numFmtId="0" fontId="4" fillId="0" borderId="0" xfId="0" applyFont="1"/>
    <xf numFmtId="1" fontId="13" fillId="0" borderId="0" xfId="4" applyNumberFormat="1" applyFont="1" applyAlignment="1">
      <alignment horizontal="left"/>
    </xf>
    <xf numFmtId="1" fontId="13" fillId="0" borderId="0" xfId="4" applyNumberFormat="1" applyFont="1" applyBorder="1" applyAlignment="1">
      <alignment horizontal="left"/>
    </xf>
    <xf numFmtId="1" fontId="37" fillId="0" borderId="0" xfId="4" applyNumberFormat="1" applyFont="1" applyBorder="1" applyAlignment="1"/>
    <xf numFmtId="166" fontId="37" fillId="0" borderId="0" xfId="4" applyNumberFormat="1" applyFont="1" applyFill="1" applyBorder="1" applyAlignment="1"/>
    <xf numFmtId="167" fontId="37" fillId="0" borderId="0" xfId="4" applyNumberFormat="1" applyFont="1" applyBorder="1" applyAlignment="1"/>
    <xf numFmtId="1" fontId="37" fillId="0" borderId="0" xfId="4" applyNumberFormat="1" applyFont="1" applyFill="1" applyBorder="1" applyAlignment="1"/>
    <xf numFmtId="0" fontId="4" fillId="0" borderId="0" xfId="0" applyFont="1" applyFill="1"/>
    <xf numFmtId="167" fontId="37" fillId="0" borderId="0" xfId="4" applyNumberFormat="1" applyFont="1" applyFill="1" applyBorder="1" applyAlignment="1"/>
    <xf numFmtId="166" fontId="13" fillId="0" borderId="0" xfId="4" applyNumberFormat="1" applyFont="1" applyFill="1" applyBorder="1" applyAlignment="1">
      <alignment horizontal="right"/>
    </xf>
    <xf numFmtId="1" fontId="13" fillId="0" borderId="0" xfId="4" applyNumberFormat="1" applyFont="1" applyFill="1" applyBorder="1" applyAlignment="1">
      <alignment horizontal="left"/>
    </xf>
    <xf numFmtId="168" fontId="13" fillId="0" borderId="0" xfId="4" applyNumberFormat="1" applyFont="1" applyFill="1" applyBorder="1" applyAlignment="1"/>
    <xf numFmtId="166" fontId="13" fillId="0" borderId="0" xfId="4" applyNumberFormat="1" applyFont="1" applyFill="1" applyBorder="1" applyAlignment="1"/>
    <xf numFmtId="167" fontId="13" fillId="0" borderId="0" xfId="4" quotePrefix="1" applyNumberFormat="1" applyFont="1" applyFill="1" applyBorder="1" applyAlignment="1"/>
    <xf numFmtId="1" fontId="13" fillId="0" borderId="0" xfId="4" applyNumberFormat="1" applyFont="1" applyFill="1" applyBorder="1" applyAlignment="1"/>
    <xf numFmtId="1" fontId="28" fillId="4" borderId="11" xfId="4" applyNumberFormat="1" applyFont="1" applyFill="1" applyBorder="1" applyAlignment="1">
      <alignment horizontal="left" vertical="center"/>
    </xf>
    <xf numFmtId="1" fontId="23" fillId="0" borderId="0" xfId="4" applyNumberFormat="1" applyFont="1" applyFill="1" applyAlignment="1">
      <alignment horizontal="left" vertical="center"/>
    </xf>
    <xf numFmtId="1" fontId="23" fillId="0" borderId="0" xfId="4" applyNumberFormat="1" applyFont="1" applyFill="1" applyAlignment="1">
      <alignment vertical="center"/>
    </xf>
    <xf numFmtId="49" fontId="23" fillId="0" borderId="0" xfId="4" applyNumberFormat="1" applyFont="1" applyBorder="1" applyAlignment="1">
      <alignment horizontal="right" indent="1"/>
    </xf>
    <xf numFmtId="49" fontId="23" fillId="0" borderId="0" xfId="4" applyNumberFormat="1" applyFont="1" applyAlignment="1">
      <alignment horizontal="right" indent="1"/>
    </xf>
    <xf numFmtId="49" fontId="24" fillId="0" borderId="0" xfId="4" applyNumberFormat="1" applyFont="1" applyFill="1" applyBorder="1" applyAlignment="1">
      <alignment horizontal="right" indent="1"/>
    </xf>
    <xf numFmtId="1" fontId="37" fillId="0" borderId="0" xfId="4" applyNumberFormat="1" applyFont="1" applyFill="1" applyBorder="1" applyAlignment="1">
      <alignment horizontal="center"/>
    </xf>
    <xf numFmtId="1" fontId="61" fillId="0" borderId="0" xfId="4" applyNumberFormat="1" applyFont="1" applyFill="1" applyBorder="1" applyAlignment="1">
      <alignment horizontal="center"/>
    </xf>
    <xf numFmtId="166" fontId="13" fillId="0" borderId="1" xfId="4" applyNumberFormat="1" applyFont="1" applyBorder="1" applyAlignment="1"/>
    <xf numFmtId="1" fontId="13" fillId="0" borderId="1" xfId="4" applyNumberFormat="1" applyFont="1" applyBorder="1" applyAlignment="1"/>
    <xf numFmtId="166" fontId="13" fillId="0" borderId="1" xfId="4" applyNumberFormat="1" applyFont="1" applyFill="1" applyBorder="1" applyAlignment="1"/>
    <xf numFmtId="166" fontId="13" fillId="0" borderId="1" xfId="4" applyNumberFormat="1" applyFont="1" applyBorder="1" applyAlignment="1">
      <alignment horizontal="center"/>
    </xf>
    <xf numFmtId="166" fontId="9" fillId="0" borderId="1" xfId="4" applyNumberFormat="1" applyFont="1" applyBorder="1" applyAlignment="1"/>
    <xf numFmtId="1" fontId="13" fillId="0" borderId="0" xfId="4" applyNumberFormat="1" applyFont="1" applyBorder="1" applyAlignment="1">
      <alignment horizontal="left" wrapText="1"/>
    </xf>
    <xf numFmtId="1" fontId="9" fillId="0" borderId="0" xfId="4" applyNumberFormat="1" applyFont="1" applyBorder="1" applyAlignment="1">
      <alignment horizontal="left" wrapText="1"/>
    </xf>
    <xf numFmtId="49" fontId="13" fillId="0" borderId="0" xfId="4" applyNumberFormat="1" applyFont="1" applyFill="1" applyBorder="1" applyAlignment="1">
      <alignment horizontal="right" indent="1"/>
    </xf>
    <xf numFmtId="49" fontId="13" fillId="0" borderId="0" xfId="4" applyNumberFormat="1" applyFont="1" applyBorder="1" applyAlignment="1">
      <alignment horizontal="right" indent="1"/>
    </xf>
    <xf numFmtId="49" fontId="13" fillId="0" borderId="0" xfId="4" applyNumberFormat="1" applyFont="1" applyAlignment="1">
      <alignment horizontal="right" indent="1"/>
    </xf>
    <xf numFmtId="49" fontId="13" fillId="0" borderId="0" xfId="0" applyNumberFormat="1" applyFont="1" applyBorder="1" applyAlignment="1">
      <alignment horizontal="right" indent="1"/>
    </xf>
    <xf numFmtId="1" fontId="23" fillId="0" borderId="0" xfId="4" applyNumberFormat="1" applyFont="1" applyAlignment="1">
      <alignment horizontal="center" vertical="top"/>
    </xf>
    <xf numFmtId="167" fontId="23" fillId="4" borderId="11" xfId="4" applyNumberFormat="1" applyFont="1" applyFill="1" applyBorder="1" applyAlignment="1">
      <alignment horizontal="left" vertical="top"/>
    </xf>
    <xf numFmtId="1" fontId="24" fillId="0" borderId="0" xfId="4" applyNumberFormat="1" applyFont="1" applyAlignment="1">
      <alignment horizontal="left" vertical="top"/>
    </xf>
    <xf numFmtId="1" fontId="23" fillId="0" borderId="0" xfId="4" applyNumberFormat="1" applyFont="1" applyAlignment="1">
      <alignment vertical="top"/>
    </xf>
    <xf numFmtId="1" fontId="13" fillId="0" borderId="0" xfId="4" applyNumberFormat="1" applyFont="1" applyAlignment="1">
      <alignment vertical="center"/>
    </xf>
    <xf numFmtId="1" fontId="13" fillId="0" borderId="0" xfId="4" applyNumberFormat="1" applyFont="1" applyFill="1" applyAlignment="1">
      <alignment horizontal="left" vertical="center" wrapText="1"/>
    </xf>
    <xf numFmtId="1" fontId="13" fillId="0" borderId="0" xfId="4" applyNumberFormat="1" applyFont="1" applyFill="1" applyAlignment="1">
      <alignment vertical="center"/>
    </xf>
    <xf numFmtId="1" fontId="13" fillId="0" borderId="0" xfId="4" applyNumberFormat="1" applyFont="1" applyFill="1" applyAlignment="1">
      <alignment vertical="center" wrapText="1"/>
    </xf>
    <xf numFmtId="1" fontId="13" fillId="0" borderId="0" xfId="4" applyNumberFormat="1" applyFont="1" applyAlignment="1">
      <alignment vertical="center" wrapText="1"/>
    </xf>
    <xf numFmtId="1" fontId="13" fillId="0" borderId="0" xfId="4" applyNumberFormat="1" applyFont="1" applyBorder="1" applyAlignment="1">
      <alignment horizontal="left" vertical="center" wrapText="1"/>
    </xf>
    <xf numFmtId="167" fontId="23" fillId="4" borderId="11" xfId="4" applyNumberFormat="1" applyFont="1" applyFill="1" applyBorder="1" applyAlignment="1">
      <alignment horizontal="left" wrapText="1"/>
    </xf>
    <xf numFmtId="1" fontId="24" fillId="0" borderId="0" xfId="4" applyNumberFormat="1" applyFont="1" applyAlignment="1">
      <alignment horizontal="left" wrapText="1"/>
    </xf>
    <xf numFmtId="1" fontId="13" fillId="0" borderId="0" xfId="4" applyNumberFormat="1" applyFont="1" applyBorder="1" applyAlignment="1">
      <alignment vertical="center"/>
    </xf>
    <xf numFmtId="1" fontId="13" fillId="0" borderId="0" xfId="4" applyNumberFormat="1" applyFont="1" applyBorder="1" applyAlignment="1">
      <alignment vertical="center" wrapText="1"/>
    </xf>
    <xf numFmtId="1" fontId="23" fillId="0" borderId="8" xfId="4" applyNumberFormat="1" applyFont="1" applyBorder="1" applyAlignment="1">
      <alignment vertical="center"/>
    </xf>
    <xf numFmtId="167" fontId="13" fillId="0" borderId="1" xfId="4" applyNumberFormat="1" applyFont="1" applyBorder="1" applyAlignment="1"/>
    <xf numFmtId="167" fontId="37" fillId="0" borderId="0" xfId="4" applyNumberFormat="1" applyFont="1" applyBorder="1" applyAlignment="1">
      <alignment horizontal="left" vertical="center"/>
    </xf>
    <xf numFmtId="167" fontId="13" fillId="0" borderId="0" xfId="4" applyNumberFormat="1" applyFont="1" applyBorder="1" applyAlignment="1">
      <alignment horizontal="left" vertical="center"/>
    </xf>
    <xf numFmtId="1" fontId="37" fillId="0" borderId="0" xfId="4" applyNumberFormat="1" applyFont="1" applyAlignment="1">
      <alignment horizontal="center" vertical="center"/>
    </xf>
    <xf numFmtId="1" fontId="61" fillId="0" borderId="0" xfId="4" applyNumberFormat="1" applyFont="1" applyAlignment="1">
      <alignment horizontal="center" vertical="center"/>
    </xf>
    <xf numFmtId="167" fontId="13" fillId="0" borderId="0" xfId="4" applyNumberFormat="1" applyFont="1" applyBorder="1" applyAlignment="1">
      <alignment vertical="center"/>
    </xf>
    <xf numFmtId="167" fontId="59" fillId="0" borderId="0" xfId="4" applyNumberFormat="1" applyFont="1" applyBorder="1" applyAlignment="1">
      <alignment horizontal="center" vertical="center"/>
    </xf>
    <xf numFmtId="167" fontId="37" fillId="0" borderId="0" xfId="4" applyNumberFormat="1" applyFont="1" applyBorder="1" applyAlignment="1">
      <alignment horizontal="center" vertical="center"/>
    </xf>
    <xf numFmtId="167" fontId="13" fillId="0" borderId="0" xfId="4" applyNumberFormat="1" applyFont="1" applyFill="1" applyBorder="1" applyAlignment="1">
      <alignment horizontal="left" vertical="center"/>
    </xf>
    <xf numFmtId="167" fontId="13" fillId="0" borderId="8" xfId="4" applyNumberFormat="1" applyFont="1" applyBorder="1" applyAlignment="1">
      <alignment horizontal="left" vertical="center"/>
    </xf>
    <xf numFmtId="1" fontId="37" fillId="0" borderId="8" xfId="4" applyNumberFormat="1" applyFont="1" applyBorder="1" applyAlignment="1">
      <alignment horizontal="center" vertical="center"/>
    </xf>
    <xf numFmtId="1" fontId="61" fillId="0" borderId="8" xfId="4" applyNumberFormat="1" applyFont="1" applyBorder="1" applyAlignment="1">
      <alignment horizontal="center" vertical="center"/>
    </xf>
    <xf numFmtId="1" fontId="13" fillId="0" borderId="8" xfId="4" applyNumberFormat="1" applyFont="1" applyBorder="1" applyAlignment="1">
      <alignment vertical="center"/>
    </xf>
    <xf numFmtId="167" fontId="13" fillId="0" borderId="8" xfId="4" applyNumberFormat="1" applyFont="1" applyBorder="1" applyAlignment="1">
      <alignment vertical="center"/>
    </xf>
    <xf numFmtId="167" fontId="13" fillId="0" borderId="0" xfId="4" applyNumberFormat="1" applyFont="1" applyAlignment="1">
      <alignment horizontal="left" vertical="center"/>
    </xf>
    <xf numFmtId="0" fontId="4" fillId="0" borderId="0" xfId="0" applyFont="1" applyAlignment="1">
      <alignment vertical="center"/>
    </xf>
    <xf numFmtId="167" fontId="13" fillId="0" borderId="0" xfId="4" applyNumberFormat="1" applyFont="1" applyFill="1" applyAlignment="1">
      <alignment horizontal="left" vertical="center"/>
    </xf>
    <xf numFmtId="1" fontId="37" fillId="0" borderId="0" xfId="4" applyNumberFormat="1" applyFont="1" applyFill="1" applyAlignment="1">
      <alignment horizontal="center" vertical="center"/>
    </xf>
    <xf numFmtId="1" fontId="13" fillId="0" borderId="0" xfId="4" applyNumberFormat="1" applyFont="1" applyFill="1" applyAlignment="1">
      <alignment horizontal="center" vertical="center"/>
    </xf>
    <xf numFmtId="1" fontId="13" fillId="0" borderId="0" xfId="4" applyNumberFormat="1" applyFont="1" applyFill="1" applyAlignment="1">
      <alignment horizontal="left" vertical="center"/>
    </xf>
    <xf numFmtId="1" fontId="13" fillId="0" borderId="0" xfId="4" applyNumberFormat="1" applyFont="1" applyBorder="1" applyAlignment="1">
      <alignment horizontal="right" vertical="center"/>
    </xf>
    <xf numFmtId="1" fontId="13" fillId="0" borderId="0" xfId="4" applyNumberFormat="1" applyFont="1" applyAlignment="1">
      <alignment horizontal="right" vertical="center"/>
    </xf>
    <xf numFmtId="1" fontId="13" fillId="0" borderId="0" xfId="4" applyNumberFormat="1" applyFont="1" applyAlignment="1">
      <alignment horizontal="left" vertical="center"/>
    </xf>
    <xf numFmtId="1" fontId="13" fillId="0" borderId="0" xfId="4" applyNumberFormat="1" applyFont="1" applyBorder="1" applyAlignment="1">
      <alignment horizontal="left" vertical="center"/>
    </xf>
    <xf numFmtId="1" fontId="9" fillId="0" borderId="0" xfId="4" applyNumberFormat="1" applyFont="1" applyFill="1" applyAlignment="1">
      <alignment vertical="center"/>
    </xf>
    <xf numFmtId="164" fontId="13" fillId="0" borderId="0" xfId="1" applyNumberFormat="1" applyFont="1" applyFill="1" applyAlignment="1">
      <alignment horizontal="center" vertical="center"/>
    </xf>
    <xf numFmtId="167" fontId="13" fillId="0" borderId="8" xfId="4" applyNumberFormat="1" applyFont="1" applyFill="1" applyBorder="1" applyAlignment="1">
      <alignment horizontal="left" vertical="center"/>
    </xf>
    <xf numFmtId="1" fontId="13" fillId="0" borderId="8" xfId="4" applyNumberFormat="1" applyFont="1" applyFill="1" applyBorder="1" applyAlignment="1">
      <alignment vertical="center"/>
    </xf>
    <xf numFmtId="167" fontId="9" fillId="0" borderId="0" xfId="4" applyNumberFormat="1" applyFont="1" applyBorder="1" applyAlignment="1">
      <alignment horizontal="left" vertical="center"/>
    </xf>
    <xf numFmtId="167" fontId="4" fillId="0" borderId="0" xfId="4" applyNumberFormat="1" applyFont="1" applyFill="1" applyBorder="1" applyAlignment="1">
      <alignment horizontal="center" vertical="center"/>
    </xf>
    <xf numFmtId="167" fontId="9" fillId="0" borderId="0" xfId="4" applyNumberFormat="1" applyFont="1" applyBorder="1" applyAlignment="1">
      <alignment horizontal="center" vertical="center"/>
    </xf>
    <xf numFmtId="167" fontId="13" fillId="0" borderId="0" xfId="4" applyNumberFormat="1" applyFont="1" applyBorder="1" applyAlignment="1">
      <alignment horizontal="left" vertical="center" wrapText="1"/>
    </xf>
    <xf numFmtId="1" fontId="37" fillId="0" borderId="0" xfId="4" applyNumberFormat="1" applyFont="1" applyAlignment="1">
      <alignment horizontal="center" vertical="center" wrapText="1"/>
    </xf>
    <xf numFmtId="167" fontId="13" fillId="0" borderId="0" xfId="4" applyNumberFormat="1" applyFont="1" applyFill="1" applyBorder="1" applyAlignment="1">
      <alignment horizontal="left" vertical="center" wrapText="1"/>
    </xf>
    <xf numFmtId="164" fontId="13" fillId="0" borderId="0" xfId="1" applyNumberFormat="1" applyFont="1" applyFill="1" applyBorder="1" applyAlignment="1">
      <alignment vertical="center" wrapText="1"/>
    </xf>
    <xf numFmtId="167" fontId="37" fillId="0" borderId="8" xfId="4" applyNumberFormat="1" applyFont="1" applyBorder="1" applyAlignment="1">
      <alignment horizontal="center" vertical="center"/>
    </xf>
    <xf numFmtId="166" fontId="23" fillId="0" borderId="0" xfId="4" applyNumberFormat="1" applyFont="1" applyFill="1" applyBorder="1" applyAlignment="1">
      <alignment horizontal="right"/>
    </xf>
    <xf numFmtId="1" fontId="32" fillId="0" borderId="1" xfId="0" quotePrefix="1" applyNumberFormat="1" applyFont="1" applyFill="1" applyBorder="1" applyAlignment="1">
      <alignment horizontal="right" wrapText="1"/>
    </xf>
    <xf numFmtId="0" fontId="9" fillId="0" borderId="0" xfId="0" applyFont="1"/>
    <xf numFmtId="10" fontId="24" fillId="0" borderId="1" xfId="0" applyNumberFormat="1" applyFont="1" applyFill="1" applyBorder="1" applyAlignment="1">
      <alignment horizontal="center"/>
    </xf>
    <xf numFmtId="0" fontId="10" fillId="5" borderId="0" xfId="3" quotePrefix="1" applyFill="1" applyAlignment="1" applyProtection="1">
      <alignment vertical="center"/>
    </xf>
    <xf numFmtId="166" fontId="23" fillId="9" borderId="1" xfId="1" applyNumberFormat="1" applyFont="1" applyFill="1" applyBorder="1" applyAlignment="1">
      <alignment horizontal="right" vertical="center" indent="1"/>
    </xf>
    <xf numFmtId="1" fontId="8" fillId="0" borderId="1" xfId="0" applyNumberFormat="1" applyFont="1" applyBorder="1"/>
    <xf numFmtId="0" fontId="23" fillId="0" borderId="1" xfId="0" quotePrefix="1" applyFont="1" applyFill="1" applyBorder="1"/>
    <xf numFmtId="1" fontId="23" fillId="0" borderId="1" xfId="0" applyNumberFormat="1" applyFont="1" applyFill="1" applyBorder="1"/>
    <xf numFmtId="1" fontId="23" fillId="0" borderId="1" xfId="0" applyNumberFormat="1" applyFont="1" applyFill="1" applyBorder="1" applyAlignment="1">
      <alignment horizontal="right"/>
    </xf>
    <xf numFmtId="1" fontId="23" fillId="0" borderId="1" xfId="4" applyNumberFormat="1" applyFont="1" applyFill="1" applyBorder="1" applyAlignment="1">
      <alignment horizontal="right"/>
    </xf>
    <xf numFmtId="1" fontId="23" fillId="0" borderId="1" xfId="0" applyNumberFormat="1" applyFont="1" applyBorder="1" applyAlignment="1">
      <alignment vertical="center"/>
    </xf>
    <xf numFmtId="3" fontId="23" fillId="9" borderId="1" xfId="0" applyNumberFormat="1" applyFont="1" applyFill="1" applyBorder="1" applyAlignment="1">
      <alignment horizontal="right" vertical="center"/>
    </xf>
    <xf numFmtId="1" fontId="23" fillId="0" borderId="1" xfId="0" applyNumberFormat="1" applyFont="1" applyFill="1" applyBorder="1" applyAlignment="1">
      <alignment vertical="center"/>
    </xf>
    <xf numFmtId="0" fontId="23" fillId="0" borderId="1" xfId="0" applyFont="1" applyFill="1" applyBorder="1" applyAlignment="1">
      <alignment horizontal="left" vertical="center"/>
    </xf>
    <xf numFmtId="0" fontId="23" fillId="0" borderId="1" xfId="0" applyNumberFormat="1" applyFont="1" applyFill="1" applyBorder="1" applyAlignment="1">
      <alignment horizontal="left" vertical="center"/>
    </xf>
    <xf numFmtId="0" fontId="23" fillId="0" borderId="1" xfId="0" applyNumberFormat="1" applyFont="1" applyFill="1" applyBorder="1" applyAlignment="1">
      <alignment vertical="center"/>
    </xf>
    <xf numFmtId="0" fontId="23" fillId="9" borderId="1" xfId="0" applyNumberFormat="1" applyFont="1" applyFill="1" applyBorder="1" applyAlignment="1">
      <alignment horizontal="right" vertical="center"/>
    </xf>
    <xf numFmtId="4" fontId="23" fillId="9" borderId="1" xfId="0" applyNumberFormat="1" applyFont="1" applyFill="1" applyBorder="1" applyAlignment="1">
      <alignment horizontal="right" vertical="center"/>
    </xf>
    <xf numFmtId="169" fontId="23" fillId="10" borderId="1" xfId="0" applyNumberFormat="1" applyFont="1" applyFill="1" applyBorder="1" applyAlignment="1">
      <alignment horizontal="right" vertical="center" indent="1"/>
    </xf>
    <xf numFmtId="164" fontId="23" fillId="0" borderId="1" xfId="0" applyNumberFormat="1" applyFont="1" applyFill="1" applyBorder="1" applyAlignment="1">
      <alignment vertical="center"/>
    </xf>
    <xf numFmtId="164" fontId="23" fillId="0" borderId="1" xfId="0" quotePrefix="1" applyNumberFormat="1" applyFont="1" applyFill="1" applyBorder="1" applyAlignment="1">
      <alignment vertical="center" wrapText="1"/>
    </xf>
    <xf numFmtId="0" fontId="0" fillId="0" borderId="24" xfId="0" applyBorder="1" applyAlignment="1">
      <alignment horizontal="left"/>
    </xf>
    <xf numFmtId="1" fontId="4" fillId="0" borderId="0" xfId="4" applyNumberFormat="1" applyFont="1" applyBorder="1" applyAlignment="1"/>
    <xf numFmtId="0" fontId="2" fillId="0" borderId="1" xfId="0" quotePrefix="1" applyFont="1" applyBorder="1" applyAlignment="1">
      <alignment vertical="center" wrapText="1"/>
    </xf>
    <xf numFmtId="164" fontId="0" fillId="0" borderId="1" xfId="1" applyNumberFormat="1" applyFont="1" applyBorder="1" applyAlignment="1">
      <alignment horizontal="right" vertical="center" wrapText="1"/>
    </xf>
    <xf numFmtId="164" fontId="13" fillId="0" borderId="0" xfId="1" applyNumberFormat="1" applyFont="1" applyFill="1" applyBorder="1"/>
    <xf numFmtId="9" fontId="0" fillId="0" borderId="0" xfId="2" applyFont="1"/>
    <xf numFmtId="0" fontId="8" fillId="5" borderId="0" xfId="0" applyFont="1" applyFill="1" applyAlignment="1">
      <alignment horizontal="left" vertical="center"/>
    </xf>
    <xf numFmtId="0" fontId="8" fillId="5" borderId="0" xfId="0" applyFont="1" applyFill="1" applyAlignment="1">
      <alignment horizontal="left"/>
    </xf>
    <xf numFmtId="0" fontId="1" fillId="5" borderId="0" xfId="0" applyFont="1" applyFill="1" applyBorder="1" applyAlignment="1">
      <alignment vertical="center"/>
    </xf>
    <xf numFmtId="0" fontId="0" fillId="5" borderId="0" xfId="0" applyFill="1" applyBorder="1" applyAlignment="1">
      <alignment horizontal="left" vertical="center"/>
    </xf>
    <xf numFmtId="172" fontId="0" fillId="5" borderId="0" xfId="0" applyNumberFormat="1" applyFill="1" applyBorder="1" applyAlignment="1">
      <alignment horizontal="left" vertical="center"/>
    </xf>
    <xf numFmtId="0" fontId="0" fillId="5" borderId="0" xfId="0" applyFill="1" applyBorder="1" applyAlignment="1">
      <alignment horizontal="right" vertical="center"/>
    </xf>
    <xf numFmtId="172" fontId="0" fillId="5" borderId="0" xfId="0" applyNumberFormat="1" applyFill="1" applyBorder="1" applyAlignment="1">
      <alignment vertical="center"/>
    </xf>
    <xf numFmtId="0" fontId="0" fillId="5" borderId="0" xfId="0" applyFill="1" applyBorder="1" applyAlignment="1">
      <alignment horizontal="right"/>
    </xf>
    <xf numFmtId="173" fontId="0" fillId="5" borderId="0" xfId="0" applyNumberFormat="1" applyFill="1" applyBorder="1" applyAlignment="1"/>
    <xf numFmtId="0" fontId="0" fillId="5" borderId="0" xfId="0" applyFill="1" applyBorder="1" applyAlignment="1"/>
    <xf numFmtId="0" fontId="23" fillId="0" borderId="1" xfId="0" applyNumberFormat="1" applyFont="1" applyBorder="1" applyAlignment="1">
      <alignment horizontal="left" indent="1"/>
    </xf>
    <xf numFmtId="0" fontId="23" fillId="0" borderId="1" xfId="0" applyNumberFormat="1" applyFont="1" applyFill="1" applyBorder="1" applyAlignment="1">
      <alignment horizontal="left" indent="1"/>
    </xf>
    <xf numFmtId="0" fontId="23" fillId="0" borderId="28" xfId="0" applyNumberFormat="1" applyFont="1" applyFill="1" applyBorder="1" applyAlignment="1">
      <alignment horizontal="left" vertical="center" wrapText="1" indent="1"/>
    </xf>
    <xf numFmtId="0" fontId="23" fillId="0" borderId="1" xfId="0" applyFont="1" applyFill="1" applyBorder="1" applyAlignment="1">
      <alignment horizontal="left" vertical="center" wrapText="1" indent="1"/>
    </xf>
    <xf numFmtId="0" fontId="23" fillId="0" borderId="1" xfId="0" quotePrefix="1" applyFont="1" applyFill="1" applyBorder="1" applyAlignment="1">
      <alignment horizontal="left" vertical="center" wrapText="1" indent="1"/>
    </xf>
    <xf numFmtId="0" fontId="23" fillId="0" borderId="1" xfId="0" applyFont="1" applyFill="1" applyBorder="1" applyAlignment="1">
      <alignment horizontal="left" vertical="center" wrapText="1" indent="2"/>
    </xf>
    <xf numFmtId="0" fontId="23" fillId="0" borderId="1" xfId="0" applyFont="1" applyBorder="1" applyAlignment="1">
      <alignment horizontal="left" vertical="center" indent="1"/>
    </xf>
    <xf numFmtId="0" fontId="34" fillId="0" borderId="0" xfId="0" applyFont="1" applyFill="1" applyBorder="1"/>
    <xf numFmtId="0" fontId="51" fillId="0" borderId="0" xfId="0" applyFont="1" applyFill="1" applyBorder="1"/>
    <xf numFmtId="0" fontId="51" fillId="0" borderId="0" xfId="0" applyFont="1" applyFill="1"/>
    <xf numFmtId="0" fontId="51" fillId="0" borderId="0" xfId="0" applyFont="1" applyFill="1" applyBorder="1" applyAlignment="1">
      <alignment wrapText="1"/>
    </xf>
    <xf numFmtId="164" fontId="16" fillId="5" borderId="0" xfId="0" applyNumberFormat="1" applyFont="1" applyFill="1" applyBorder="1"/>
    <xf numFmtId="164" fontId="4" fillId="0" borderId="18" xfId="1" applyNumberFormat="1" applyFont="1" applyBorder="1"/>
    <xf numFmtId="0" fontId="23" fillId="5" borderId="0" xfId="0" applyFont="1" applyFill="1"/>
    <xf numFmtId="0" fontId="22" fillId="5" borderId="0" xfId="0" applyFont="1" applyFill="1" applyAlignment="1">
      <alignment wrapText="1"/>
    </xf>
    <xf numFmtId="0" fontId="13" fillId="5" borderId="0" xfId="0" applyFont="1" applyFill="1" applyAlignment="1">
      <alignment horizontal="left"/>
    </xf>
    <xf numFmtId="0" fontId="23" fillId="5" borderId="0" xfId="0" applyFont="1" applyFill="1" applyBorder="1"/>
    <xf numFmtId="0" fontId="34" fillId="5" borderId="0" xfId="0" applyFont="1" applyFill="1" applyBorder="1"/>
    <xf numFmtId="0" fontId="9" fillId="5" borderId="0" xfId="0" applyFont="1" applyFill="1" applyBorder="1" applyAlignment="1">
      <alignment vertical="center"/>
    </xf>
    <xf numFmtId="0" fontId="9" fillId="5" borderId="0" xfId="0" applyFont="1" applyFill="1" applyAlignment="1">
      <alignment vertical="center"/>
    </xf>
    <xf numFmtId="0" fontId="13" fillId="5" borderId="0" xfId="0" quotePrefix="1" applyFont="1" applyFill="1"/>
    <xf numFmtId="165" fontId="9" fillId="5" borderId="0" xfId="0" applyNumberFormat="1" applyFont="1" applyFill="1" applyBorder="1" applyAlignment="1">
      <alignment vertical="center"/>
    </xf>
    <xf numFmtId="0" fontId="13" fillId="5" borderId="3" xfId="0" applyFont="1" applyFill="1" applyBorder="1" applyAlignment="1">
      <alignment horizontal="center" wrapText="1"/>
    </xf>
    <xf numFmtId="174" fontId="13" fillId="5" borderId="3" xfId="2" applyNumberFormat="1" applyFont="1" applyFill="1" applyBorder="1" applyAlignment="1">
      <alignment horizontal="center" vertical="center"/>
    </xf>
    <xf numFmtId="0" fontId="13" fillId="5" borderId="0" xfId="0" applyFont="1" applyFill="1" applyBorder="1"/>
    <xf numFmtId="0" fontId="9" fillId="5" borderId="0" xfId="0" applyFont="1" applyFill="1" applyBorder="1"/>
    <xf numFmtId="0" fontId="0" fillId="5" borderId="0" xfId="0" applyFill="1" applyBorder="1" applyAlignment="1">
      <alignment vertical="center"/>
    </xf>
    <xf numFmtId="0" fontId="9" fillId="5" borderId="0" xfId="0" applyFont="1" applyFill="1" applyBorder="1" applyAlignment="1">
      <alignment wrapText="1"/>
    </xf>
    <xf numFmtId="164" fontId="24" fillId="5" borderId="0" xfId="0" applyNumberFormat="1" applyFont="1" applyFill="1" applyBorder="1"/>
    <xf numFmtId="0" fontId="65" fillId="5" borderId="0" xfId="0" applyFont="1" applyFill="1" applyBorder="1"/>
    <xf numFmtId="0" fontId="51" fillId="5" borderId="0" xfId="0" applyFont="1" applyFill="1" applyBorder="1"/>
    <xf numFmtId="0" fontId="8" fillId="5" borderId="0" xfId="0" applyFont="1" applyFill="1" applyBorder="1" applyAlignment="1">
      <alignment horizontal="center"/>
    </xf>
    <xf numFmtId="3" fontId="17" fillId="5" borderId="0" xfId="0" applyNumberFormat="1" applyFont="1" applyFill="1" applyAlignment="1">
      <alignment wrapText="1"/>
    </xf>
    <xf numFmtId="164" fontId="0" fillId="5" borderId="0" xfId="1" applyNumberFormat="1" applyFont="1" applyFill="1" applyAlignment="1">
      <alignment wrapText="1"/>
    </xf>
    <xf numFmtId="0" fontId="23" fillId="5" borderId="0" xfId="0" quotePrefix="1" applyNumberFormat="1" applyFont="1" applyFill="1" applyBorder="1" applyAlignment="1"/>
    <xf numFmtId="0" fontId="23" fillId="5" borderId="0" xfId="0" applyNumberFormat="1" applyFont="1" applyFill="1" applyAlignment="1"/>
    <xf numFmtId="164" fontId="23" fillId="5" borderId="0" xfId="1" applyNumberFormat="1" applyFont="1" applyFill="1"/>
    <xf numFmtId="164" fontId="24" fillId="5" borderId="0" xfId="0" applyNumberFormat="1" applyFont="1" applyFill="1"/>
    <xf numFmtId="164" fontId="24" fillId="5" borderId="0" xfId="0" applyNumberFormat="1" applyFont="1" applyFill="1" applyBorder="1" applyAlignment="1">
      <alignment horizontal="center"/>
    </xf>
    <xf numFmtId="0" fontId="24" fillId="5" borderId="0" xfId="0" applyFont="1" applyFill="1" applyBorder="1" applyAlignment="1">
      <alignment horizontal="center"/>
    </xf>
    <xf numFmtId="164" fontId="8" fillId="5" borderId="0" xfId="1" applyNumberFormat="1" applyFont="1" applyFill="1" applyBorder="1"/>
    <xf numFmtId="164" fontId="0" fillId="5" borderId="0" xfId="1" applyNumberFormat="1" applyFont="1" applyFill="1"/>
    <xf numFmtId="1" fontId="13" fillId="0" borderId="0" xfId="4" applyNumberFormat="1" applyFont="1" applyBorder="1" applyAlignment="1">
      <alignment wrapText="1"/>
    </xf>
    <xf numFmtId="0" fontId="13" fillId="5" borderId="0" xfId="0" applyFont="1" applyFill="1" applyAlignment="1">
      <alignment horizontal="right" wrapText="1"/>
    </xf>
    <xf numFmtId="49" fontId="13" fillId="5" borderId="0" xfId="0" applyNumberFormat="1" applyFont="1" applyFill="1" applyAlignment="1">
      <alignment horizontal="right" wrapText="1"/>
    </xf>
    <xf numFmtId="1" fontId="13" fillId="5" borderId="0" xfId="0" applyNumberFormat="1" applyFont="1" applyFill="1" applyAlignment="1">
      <alignment horizontal="right" wrapText="1"/>
    </xf>
    <xf numFmtId="49" fontId="37" fillId="0" borderId="0" xfId="1" quotePrefix="1" applyNumberFormat="1" applyFont="1" applyAlignment="1">
      <alignment horizontal="right" indent="1"/>
    </xf>
    <xf numFmtId="49" fontId="13" fillId="0" borderId="0" xfId="0" applyNumberFormat="1" applyFont="1" applyFill="1" applyBorder="1" applyAlignment="1">
      <alignment horizontal="right" indent="1"/>
    </xf>
    <xf numFmtId="0" fontId="13" fillId="0" borderId="0" xfId="1" quotePrefix="1" applyNumberFormat="1" applyFont="1" applyAlignment="1">
      <alignment horizontal="right"/>
    </xf>
    <xf numFmtId="49" fontId="13" fillId="0" borderId="0" xfId="1" quotePrefix="1" applyNumberFormat="1" applyFont="1" applyAlignment="1">
      <alignment horizontal="right" vertical="top"/>
    </xf>
    <xf numFmtId="49" fontId="37" fillId="0" borderId="0" xfId="4" applyNumberFormat="1" applyFont="1" applyFill="1" applyBorder="1" applyAlignment="1">
      <alignment horizontal="right" indent="1"/>
    </xf>
    <xf numFmtId="49" fontId="13" fillId="0" borderId="0" xfId="1" quotePrefix="1" applyNumberFormat="1" applyFont="1" applyAlignment="1">
      <alignment horizontal="right"/>
    </xf>
    <xf numFmtId="1" fontId="24" fillId="0" borderId="8" xfId="4" applyNumberFormat="1" applyFont="1" applyBorder="1" applyAlignment="1">
      <alignment horizontal="center" wrapText="1"/>
    </xf>
    <xf numFmtId="1" fontId="24" fillId="0" borderId="0" xfId="4" applyNumberFormat="1" applyFont="1" applyBorder="1" applyAlignment="1">
      <alignment wrapText="1"/>
    </xf>
    <xf numFmtId="1" fontId="24" fillId="0" borderId="8" xfId="4" applyNumberFormat="1" applyFont="1" applyBorder="1" applyAlignment="1">
      <alignment wrapText="1"/>
    </xf>
    <xf numFmtId="1" fontId="24" fillId="0" borderId="0" xfId="4" applyNumberFormat="1" applyFont="1" applyAlignment="1">
      <alignment wrapText="1"/>
    </xf>
    <xf numFmtId="1" fontId="23" fillId="0" borderId="0" xfId="4" applyNumberFormat="1" applyFont="1" applyAlignment="1">
      <alignment wrapText="1"/>
    </xf>
    <xf numFmtId="1" fontId="24" fillId="0" borderId="8" xfId="4" applyNumberFormat="1" applyFont="1" applyFill="1" applyBorder="1" applyAlignment="1">
      <alignment wrapText="1"/>
    </xf>
    <xf numFmtId="1" fontId="24" fillId="0" borderId="0" xfId="4" applyNumberFormat="1" applyFont="1" applyAlignment="1">
      <alignment vertical="top" wrapText="1"/>
    </xf>
    <xf numFmtId="1" fontId="23" fillId="0" borderId="0" xfId="4" applyNumberFormat="1" applyFont="1" applyBorder="1" applyAlignment="1">
      <alignment horizontal="left" wrapText="1"/>
    </xf>
    <xf numFmtId="1" fontId="24" fillId="0" borderId="0" xfId="4" applyNumberFormat="1" applyFont="1" applyFill="1" applyBorder="1" applyAlignment="1">
      <alignment wrapText="1"/>
    </xf>
    <xf numFmtId="1" fontId="64" fillId="0" borderId="0" xfId="4" applyNumberFormat="1" applyFont="1" applyFill="1" applyBorder="1" applyAlignment="1">
      <alignment wrapText="1"/>
    </xf>
    <xf numFmtId="0" fontId="66" fillId="0" borderId="0" xfId="0" applyFont="1"/>
    <xf numFmtId="0" fontId="66" fillId="5" borderId="0" xfId="0" applyFont="1" applyFill="1"/>
    <xf numFmtId="164" fontId="23" fillId="0" borderId="1" xfId="0" applyNumberFormat="1" applyFont="1" applyFill="1" applyBorder="1" applyAlignment="1">
      <alignment vertical="center" wrapText="1"/>
    </xf>
    <xf numFmtId="9" fontId="23" fillId="0" borderId="0" xfId="0" applyNumberFormat="1" applyFont="1" applyFill="1" applyBorder="1" applyAlignment="1">
      <alignment horizontal="center"/>
    </xf>
    <xf numFmtId="164" fontId="23" fillId="0" borderId="0" xfId="0" applyNumberFormat="1" applyFont="1" applyFill="1" applyBorder="1" applyAlignment="1">
      <alignment horizontal="left"/>
    </xf>
    <xf numFmtId="164" fontId="23" fillId="5" borderId="0" xfId="1" quotePrefix="1" applyNumberFormat="1" applyFont="1" applyFill="1"/>
    <xf numFmtId="0" fontId="9" fillId="0" borderId="0" xfId="0" applyFont="1" applyBorder="1" applyAlignment="1">
      <alignment wrapText="1"/>
    </xf>
    <xf numFmtId="0" fontId="9" fillId="0" borderId="0" xfId="0" applyFont="1" applyBorder="1"/>
    <xf numFmtId="0" fontId="23" fillId="5" borderId="2" xfId="0" applyFont="1" applyFill="1" applyBorder="1" applyAlignment="1">
      <alignment horizontal="left" vertical="center" wrapText="1"/>
    </xf>
    <xf numFmtId="166" fontId="23" fillId="5" borderId="2" xfId="0" applyNumberFormat="1" applyFont="1" applyFill="1" applyBorder="1"/>
    <xf numFmtId="0" fontId="23" fillId="5" borderId="0" xfId="0" applyFont="1" applyFill="1" applyBorder="1" applyAlignment="1"/>
    <xf numFmtId="0" fontId="23" fillId="5" borderId="2" xfId="0" applyFont="1" applyFill="1" applyBorder="1" applyAlignment="1">
      <alignment horizontal="right" wrapText="1"/>
    </xf>
    <xf numFmtId="166" fontId="23" fillId="5" borderId="2" xfId="0" quotePrefix="1" applyNumberFormat="1" applyFont="1" applyFill="1" applyBorder="1"/>
    <xf numFmtId="0" fontId="23" fillId="5" borderId="4" xfId="0" applyFont="1" applyFill="1" applyBorder="1" applyAlignment="1">
      <alignment horizontal="left" vertical="center" wrapText="1"/>
    </xf>
    <xf numFmtId="0" fontId="47" fillId="5" borderId="0" xfId="0" applyFont="1" applyFill="1"/>
    <xf numFmtId="0" fontId="9" fillId="5" borderId="0" xfId="0" applyFont="1" applyFill="1" applyAlignment="1">
      <alignment horizontal="center"/>
    </xf>
    <xf numFmtId="0" fontId="13" fillId="5" borderId="0" xfId="0" applyFont="1" applyFill="1" applyAlignment="1">
      <alignment horizontal="center"/>
    </xf>
    <xf numFmtId="170" fontId="13" fillId="5" borderId="0" xfId="0" applyNumberFormat="1" applyFont="1" applyFill="1" applyAlignment="1">
      <alignment horizontal="right" indent="1"/>
    </xf>
    <xf numFmtId="0" fontId="8" fillId="5" borderId="1" xfId="0" quotePrefix="1" applyFont="1" applyFill="1" applyBorder="1" applyAlignment="1">
      <alignment vertical="center" wrapText="1"/>
    </xf>
    <xf numFmtId="170" fontId="23" fillId="7" borderId="1" xfId="0" applyNumberFormat="1" applyFont="1" applyFill="1" applyBorder="1" applyAlignment="1">
      <alignment vertical="center"/>
    </xf>
    <xf numFmtId="3" fontId="23" fillId="0" borderId="1" xfId="0" applyNumberFormat="1" applyFont="1" applyFill="1" applyBorder="1" applyAlignment="1">
      <alignment horizontal="right" vertical="center"/>
    </xf>
    <xf numFmtId="0" fontId="9" fillId="0" borderId="0" xfId="0" applyFont="1" applyFill="1" applyBorder="1"/>
    <xf numFmtId="0" fontId="9" fillId="0" borderId="0" xfId="0" applyFont="1" applyBorder="1" applyAlignment="1"/>
    <xf numFmtId="178" fontId="9" fillId="0" borderId="0" xfId="0" applyNumberFormat="1" applyFont="1" applyFill="1" applyBorder="1"/>
    <xf numFmtId="0" fontId="13" fillId="0" borderId="0" xfId="0" applyFont="1" applyBorder="1" applyAlignment="1">
      <alignment wrapText="1"/>
    </xf>
    <xf numFmtId="0" fontId="23" fillId="0" borderId="12" xfId="0" applyFont="1" applyFill="1" applyBorder="1" applyAlignment="1">
      <alignment vertical="center"/>
    </xf>
    <xf numFmtId="1" fontId="0" fillId="0" borderId="0" xfId="0" applyNumberFormat="1"/>
    <xf numFmtId="166" fontId="37" fillId="11" borderId="0" xfId="0" applyNumberFormat="1" applyFont="1" applyFill="1"/>
    <xf numFmtId="0" fontId="67" fillId="5" borderId="0" xfId="0" applyFont="1" applyFill="1" applyAlignment="1">
      <alignment horizontal="left" indent="1"/>
    </xf>
    <xf numFmtId="0" fontId="0" fillId="0" borderId="2" xfId="0" applyFont="1" applyBorder="1" applyAlignment="1">
      <alignment wrapText="1"/>
    </xf>
    <xf numFmtId="0" fontId="1" fillId="0" borderId="15" xfId="0" applyFont="1" applyFill="1" applyBorder="1"/>
    <xf numFmtId="0" fontId="37" fillId="5" borderId="0" xfId="0" applyFont="1" applyFill="1"/>
    <xf numFmtId="43" fontId="37" fillId="5" borderId="0" xfId="0" applyNumberFormat="1" applyFont="1" applyFill="1" applyAlignment="1">
      <alignment horizontal="left" indent="1"/>
    </xf>
    <xf numFmtId="170" fontId="0" fillId="0" borderId="1" xfId="0" applyNumberFormat="1" applyBorder="1"/>
    <xf numFmtId="0" fontId="0" fillId="0" borderId="0" xfId="0" applyAlignment="1">
      <alignment vertical="center" wrapText="1"/>
    </xf>
    <xf numFmtId="170" fontId="13" fillId="0" borderId="0" xfId="0" applyNumberFormat="1" applyFont="1" applyBorder="1" applyAlignment="1">
      <alignment horizontal="center"/>
    </xf>
    <xf numFmtId="164" fontId="0" fillId="0" borderId="1" xfId="1" applyNumberFormat="1" applyFont="1" applyFill="1" applyBorder="1"/>
    <xf numFmtId="164" fontId="13" fillId="0" borderId="1" xfId="0" applyNumberFormat="1" applyFont="1" applyFill="1" applyBorder="1"/>
    <xf numFmtId="164" fontId="13" fillId="0" borderId="1" xfId="1" applyNumberFormat="1" applyFont="1" applyBorder="1" applyAlignment="1">
      <alignment horizontal="center" vertical="center"/>
    </xf>
    <xf numFmtId="164" fontId="23" fillId="0" borderId="1" xfId="1" applyNumberFormat="1" applyFont="1" applyFill="1" applyBorder="1" applyAlignment="1">
      <alignment horizontal="center"/>
    </xf>
    <xf numFmtId="164" fontId="23" fillId="2" borderId="1" xfId="1" applyNumberFormat="1" applyFont="1" applyFill="1" applyBorder="1" applyAlignment="1">
      <alignment horizontal="center"/>
    </xf>
    <xf numFmtId="164" fontId="64" fillId="0" borderId="1" xfId="1" applyNumberFormat="1" applyFont="1" applyBorder="1"/>
    <xf numFmtId="0" fontId="9" fillId="5" borderId="0" xfId="0" applyFont="1" applyFill="1"/>
    <xf numFmtId="0" fontId="23" fillId="0" borderId="1" xfId="0" applyFont="1" applyFill="1" applyBorder="1" applyAlignment="1">
      <alignment horizontal="left" vertical="center" indent="1"/>
    </xf>
    <xf numFmtId="164" fontId="23" fillId="0" borderId="1" xfId="0" applyNumberFormat="1" applyFont="1" applyFill="1" applyBorder="1" applyAlignment="1">
      <alignment horizontal="left" vertical="center" indent="1"/>
    </xf>
    <xf numFmtId="0" fontId="23" fillId="0" borderId="1" xfId="0" quotePrefix="1" applyFont="1" applyFill="1" applyBorder="1" applyAlignment="1">
      <alignment vertical="center"/>
    </xf>
    <xf numFmtId="164" fontId="69" fillId="0" borderId="0" xfId="1" applyNumberFormat="1" applyFont="1"/>
    <xf numFmtId="0" fontId="16" fillId="0" borderId="1" xfId="1" applyNumberFormat="1" applyFont="1" applyFill="1" applyBorder="1"/>
    <xf numFmtId="0" fontId="8" fillId="0" borderId="1" xfId="1" applyNumberFormat="1" applyFont="1" applyFill="1" applyBorder="1"/>
    <xf numFmtId="164" fontId="8" fillId="0" borderId="1" xfId="1" applyNumberFormat="1" applyFont="1" applyFill="1" applyBorder="1" applyAlignment="1"/>
    <xf numFmtId="0" fontId="9" fillId="0" borderId="0" xfId="0" applyFont="1" applyBorder="1" applyAlignment="1">
      <alignment horizontal="center"/>
    </xf>
    <xf numFmtId="164" fontId="9" fillId="0" borderId="0" xfId="0" applyNumberFormat="1" applyFont="1" applyBorder="1" applyAlignment="1">
      <alignment horizontal="center"/>
    </xf>
    <xf numFmtId="0" fontId="8" fillId="5" borderId="0" xfId="0" applyFont="1" applyFill="1" applyAlignment="1">
      <alignment horizontal="right"/>
    </xf>
    <xf numFmtId="0" fontId="8" fillId="5" borderId="0" xfId="0" quotePrefix="1" applyFont="1" applyFill="1" applyBorder="1" applyAlignment="1">
      <alignment horizontal="left" vertical="center" wrapText="1"/>
    </xf>
    <xf numFmtId="0" fontId="8" fillId="5" borderId="10" xfId="0" applyFont="1" applyFill="1" applyBorder="1" applyAlignment="1">
      <alignment horizontal="left" vertical="top" wrapText="1"/>
    </xf>
    <xf numFmtId="0" fontId="8" fillId="5" borderId="3" xfId="0" applyFont="1" applyFill="1" applyBorder="1" applyAlignment="1">
      <alignment horizontal="left" vertical="top" wrapText="1"/>
    </xf>
    <xf numFmtId="0" fontId="8" fillId="5" borderId="10" xfId="0" quotePrefix="1" applyFont="1" applyFill="1" applyBorder="1" applyAlignment="1">
      <alignment horizontal="left" vertical="top" wrapText="1"/>
    </xf>
    <xf numFmtId="0" fontId="8" fillId="5" borderId="3" xfId="0" quotePrefix="1" applyFont="1" applyFill="1" applyBorder="1" applyAlignment="1">
      <alignment horizontal="left" vertical="top" wrapText="1"/>
    </xf>
    <xf numFmtId="0" fontId="18" fillId="6" borderId="0" xfId="0" applyFont="1" applyFill="1" applyBorder="1" applyAlignment="1">
      <alignment horizontal="left" wrapText="1" indent="1"/>
    </xf>
    <xf numFmtId="164" fontId="23" fillId="0" borderId="12" xfId="1" applyNumberFormat="1" applyFont="1" applyBorder="1"/>
    <xf numFmtId="0" fontId="8" fillId="0" borderId="2" xfId="0" applyFont="1" applyFill="1" applyBorder="1" applyAlignment="1">
      <alignment vertical="center"/>
    </xf>
    <xf numFmtId="169" fontId="8" fillId="9" borderId="1" xfId="0" applyNumberFormat="1" applyFont="1" applyFill="1" applyBorder="1" applyAlignment="1">
      <alignment horizontal="right" vertical="center" indent="1"/>
    </xf>
    <xf numFmtId="0" fontId="8" fillId="0" borderId="1" xfId="0" quotePrefix="1" applyFont="1" applyFill="1" applyBorder="1" applyAlignment="1">
      <alignment horizontal="left" wrapText="1"/>
    </xf>
    <xf numFmtId="0" fontId="0" fillId="5" borderId="0" xfId="0" applyFont="1" applyFill="1" applyAlignment="1">
      <alignment horizontal="right" wrapText="1"/>
    </xf>
    <xf numFmtId="174" fontId="1" fillId="11" borderId="0" xfId="2" applyNumberFormat="1" applyFont="1" applyFill="1"/>
    <xf numFmtId="0" fontId="8" fillId="0" borderId="1" xfId="0" applyNumberFormat="1" applyFont="1" applyFill="1" applyBorder="1" applyAlignment="1">
      <alignment horizontal="left" vertical="center"/>
    </xf>
    <xf numFmtId="0" fontId="70" fillId="3" borderId="1" xfId="0" applyFont="1" applyFill="1" applyBorder="1" applyAlignment="1">
      <alignment horizontal="center" wrapText="1"/>
    </xf>
    <xf numFmtId="164" fontId="70" fillId="3" borderId="1" xfId="1" applyNumberFormat="1" applyFont="1" applyFill="1" applyBorder="1" applyAlignment="1">
      <alignment horizontal="center" wrapText="1"/>
    </xf>
    <xf numFmtId="0" fontId="70" fillId="2" borderId="1" xfId="0" applyFont="1" applyFill="1" applyBorder="1" applyAlignment="1">
      <alignment horizontal="center" wrapText="1"/>
    </xf>
    <xf numFmtId="0" fontId="2" fillId="0" borderId="1" xfId="0" applyFont="1" applyBorder="1" applyAlignment="1">
      <alignment vertical="center" wrapText="1"/>
    </xf>
    <xf numFmtId="1" fontId="0" fillId="0" borderId="1" xfId="0" applyNumberFormat="1" applyFont="1" applyBorder="1" applyAlignment="1">
      <alignment horizontal="right" vertical="center" wrapText="1"/>
    </xf>
    <xf numFmtId="0" fontId="2" fillId="2" borderId="1" xfId="0" applyFont="1" applyFill="1" applyBorder="1" applyAlignment="1">
      <alignment vertical="center" wrapText="1"/>
    </xf>
    <xf numFmtId="0" fontId="2" fillId="2" borderId="1" xfId="0" applyFont="1" applyFill="1" applyBorder="1" applyAlignment="1">
      <alignment horizontal="right" vertical="center" wrapText="1"/>
    </xf>
    <xf numFmtId="0" fontId="2" fillId="0" borderId="1" xfId="0" quotePrefix="1" applyFont="1" applyBorder="1" applyAlignment="1">
      <alignment horizontal="left" vertical="center" wrapText="1"/>
    </xf>
    <xf numFmtId="164" fontId="2" fillId="0" borderId="1" xfId="1" applyNumberFormat="1" applyFont="1" applyFill="1" applyBorder="1" applyAlignment="1">
      <alignment horizontal="right" vertical="center" wrapText="1"/>
    </xf>
    <xf numFmtId="164" fontId="0" fillId="0" borderId="1" xfId="0" applyNumberFormat="1" applyFont="1" applyBorder="1" applyAlignment="1">
      <alignment horizontal="right" vertical="center" wrapText="1"/>
    </xf>
    <xf numFmtId="0" fontId="0" fillId="0" borderId="1" xfId="0" quotePrefix="1" applyFont="1" applyBorder="1" applyAlignment="1">
      <alignment wrapText="1"/>
    </xf>
    <xf numFmtId="0" fontId="0" fillId="0" borderId="1" xfId="0" applyFont="1" applyFill="1" applyBorder="1" applyAlignment="1">
      <alignment wrapText="1"/>
    </xf>
    <xf numFmtId="164" fontId="0" fillId="0" borderId="1" xfId="1" applyNumberFormat="1" applyFont="1" applyFill="1" applyBorder="1" applyAlignment="1">
      <alignment horizontal="right" vertical="center" wrapText="1"/>
    </xf>
    <xf numFmtId="164" fontId="0" fillId="0" borderId="1" xfId="1" quotePrefix="1" applyNumberFormat="1" applyFont="1" applyBorder="1" applyAlignment="1">
      <alignment horizontal="right" vertical="center" wrapText="1"/>
    </xf>
    <xf numFmtId="0" fontId="72" fillId="2" borderId="1" xfId="0" applyFont="1" applyFill="1" applyBorder="1" applyAlignment="1">
      <alignment vertical="center"/>
    </xf>
    <xf numFmtId="164" fontId="2" fillId="2" borderId="1" xfId="1" applyNumberFormat="1" applyFont="1" applyFill="1" applyBorder="1" applyAlignment="1">
      <alignment horizontal="right" vertical="center" wrapText="1"/>
    </xf>
    <xf numFmtId="0" fontId="0" fillId="2" borderId="1" xfId="0" applyFont="1" applyFill="1" applyBorder="1" applyAlignment="1">
      <alignment vertical="center" wrapText="1"/>
    </xf>
    <xf numFmtId="0" fontId="72" fillId="0" borderId="1" xfId="0" applyFont="1" applyFill="1" applyBorder="1" applyAlignment="1">
      <alignment vertical="center"/>
    </xf>
    <xf numFmtId="0" fontId="2" fillId="0" borderId="1" xfId="0" applyFont="1" applyFill="1" applyBorder="1" applyAlignment="1">
      <alignment vertical="center" wrapText="1"/>
    </xf>
    <xf numFmtId="0" fontId="0" fillId="0" borderId="1" xfId="0" applyFont="1" applyFill="1" applyBorder="1" applyAlignment="1">
      <alignment vertical="center" wrapText="1"/>
    </xf>
    <xf numFmtId="0" fontId="72" fillId="0" borderId="1" xfId="0" applyFont="1" applyBorder="1" applyAlignment="1">
      <alignment vertical="center" wrapText="1"/>
    </xf>
    <xf numFmtId="0" fontId="1" fillId="0" borderId="1" xfId="0" applyFont="1" applyBorder="1" applyAlignment="1">
      <alignment wrapText="1"/>
    </xf>
    <xf numFmtId="0" fontId="0" fillId="0" borderId="1" xfId="0" applyFont="1" applyBorder="1" applyAlignment="1">
      <alignment vertical="center" wrapText="1"/>
    </xf>
    <xf numFmtId="164" fontId="0" fillId="0" borderId="1" xfId="0" applyNumberFormat="1" applyFont="1" applyFill="1" applyBorder="1" applyAlignment="1">
      <alignment horizontal="right" vertical="center" wrapText="1"/>
    </xf>
    <xf numFmtId="0" fontId="1" fillId="0" borderId="1" xfId="0" applyFont="1" applyFill="1" applyBorder="1" applyAlignment="1">
      <alignment wrapText="1"/>
    </xf>
    <xf numFmtId="0" fontId="0" fillId="0" borderId="0" xfId="0" applyFont="1" applyFill="1" applyAlignment="1">
      <alignment wrapText="1"/>
    </xf>
    <xf numFmtId="0" fontId="0" fillId="0" borderId="1" xfId="0" quotePrefix="1" applyFont="1" applyBorder="1" applyAlignment="1">
      <alignment vertical="center" wrapText="1"/>
    </xf>
    <xf numFmtId="0" fontId="0" fillId="0" borderId="1" xfId="0" applyFont="1" applyFill="1" applyBorder="1" applyAlignment="1">
      <alignment horizontal="left" vertical="center" wrapText="1"/>
    </xf>
    <xf numFmtId="0" fontId="1" fillId="0" borderId="1" xfId="0" applyFont="1" applyBorder="1" applyAlignment="1"/>
    <xf numFmtId="0" fontId="0" fillId="0" borderId="1" xfId="0" applyFont="1" applyBorder="1" applyAlignment="1"/>
    <xf numFmtId="0" fontId="0" fillId="0" borderId="1" xfId="0" quotePrefix="1" applyFont="1" applyFill="1" applyBorder="1" applyAlignment="1">
      <alignment horizontal="left" vertical="center" wrapText="1"/>
    </xf>
    <xf numFmtId="0" fontId="0" fillId="0" borderId="1" xfId="0" applyFont="1" applyFill="1" applyBorder="1" applyAlignment="1">
      <alignment horizontal="left" vertical="center"/>
    </xf>
    <xf numFmtId="0" fontId="0" fillId="0" borderId="1" xfId="0" applyFont="1" applyFill="1" applyBorder="1" applyAlignment="1">
      <alignment horizontal="right" vertical="center" wrapText="1"/>
    </xf>
    <xf numFmtId="0" fontId="0" fillId="0" borderId="1" xfId="0" quotePrefix="1" applyFont="1" applyBorder="1" applyAlignment="1">
      <alignment horizontal="left" vertical="center" wrapText="1"/>
    </xf>
    <xf numFmtId="0" fontId="2" fillId="2" borderId="1" xfId="0" applyFont="1" applyFill="1" applyBorder="1" applyAlignment="1">
      <alignment horizontal="left" vertical="center" wrapText="1"/>
    </xf>
    <xf numFmtId="0" fontId="72"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1" xfId="0" quotePrefix="1" applyFont="1" applyFill="1" applyBorder="1" applyAlignment="1">
      <alignment horizontal="left" vertical="center" wrapText="1"/>
    </xf>
    <xf numFmtId="0" fontId="0" fillId="2" borderId="1" xfId="0" applyFont="1" applyFill="1" applyBorder="1" applyAlignment="1">
      <alignment wrapText="1"/>
    </xf>
    <xf numFmtId="0" fontId="0" fillId="2" borderId="1" xfId="0" applyFont="1" applyFill="1" applyBorder="1" applyAlignment="1">
      <alignment horizontal="right" vertical="center" wrapText="1"/>
    </xf>
    <xf numFmtId="164" fontId="0" fillId="2" borderId="1" xfId="1" applyNumberFormat="1" applyFont="1" applyFill="1" applyBorder="1" applyAlignment="1">
      <alignment horizontal="right" vertical="center" wrapText="1"/>
    </xf>
    <xf numFmtId="0" fontId="72" fillId="0" borderId="1" xfId="0" applyFont="1" applyFill="1" applyBorder="1" applyAlignment="1">
      <alignment vertical="center" wrapText="1"/>
    </xf>
    <xf numFmtId="3" fontId="0" fillId="0" borderId="1" xfId="0" applyNumberFormat="1" applyFont="1" applyBorder="1" applyAlignment="1">
      <alignment horizontal="right" vertical="center" wrapText="1"/>
    </xf>
    <xf numFmtId="164" fontId="2" fillId="0" borderId="1" xfId="1" quotePrefix="1" applyNumberFormat="1" applyFont="1" applyBorder="1" applyAlignment="1">
      <alignment horizontal="right" vertical="center" wrapText="1"/>
    </xf>
    <xf numFmtId="0" fontId="0" fillId="0" borderId="0" xfId="0" quotePrefix="1" applyFont="1" applyAlignment="1">
      <alignment vertical="center" wrapText="1"/>
    </xf>
    <xf numFmtId="0" fontId="0" fillId="6" borderId="0" xfId="0" applyFont="1" applyFill="1" applyBorder="1"/>
    <xf numFmtId="0" fontId="0" fillId="6" borderId="0" xfId="0" applyFont="1" applyFill="1" applyBorder="1" applyAlignment="1">
      <alignment horizontal="left"/>
    </xf>
    <xf numFmtId="0" fontId="73" fillId="0" borderId="0" xfId="3" quotePrefix="1" applyFont="1" applyAlignment="1" applyProtection="1"/>
    <xf numFmtId="0" fontId="73" fillId="5" borderId="1" xfId="3" quotePrefix="1" applyFont="1" applyFill="1" applyBorder="1" applyAlignment="1" applyProtection="1">
      <alignment vertical="top" wrapText="1"/>
    </xf>
    <xf numFmtId="0" fontId="73" fillId="5" borderId="2" xfId="3" quotePrefix="1" applyFont="1" applyFill="1" applyBorder="1" applyAlignment="1" applyProtection="1">
      <alignment wrapText="1"/>
    </xf>
    <xf numFmtId="0" fontId="73" fillId="5" borderId="1" xfId="3" quotePrefix="1" applyFont="1" applyFill="1" applyBorder="1" applyAlignment="1" applyProtection="1">
      <alignment wrapText="1"/>
    </xf>
    <xf numFmtId="0" fontId="73" fillId="5" borderId="1" xfId="3" quotePrefix="1" applyFont="1" applyFill="1" applyBorder="1" applyAlignment="1" applyProtection="1"/>
    <xf numFmtId="0" fontId="74" fillId="5" borderId="0" xfId="3" quotePrefix="1" applyFont="1" applyFill="1" applyAlignment="1" applyProtection="1"/>
    <xf numFmtId="0" fontId="73" fillId="5" borderId="2" xfId="3" quotePrefix="1" applyFont="1" applyFill="1" applyBorder="1" applyAlignment="1" applyProtection="1">
      <alignment horizontal="left" vertical="center"/>
    </xf>
    <xf numFmtId="0" fontId="74" fillId="5" borderId="2" xfId="3" quotePrefix="1" applyFont="1" applyFill="1" applyBorder="1" applyAlignment="1" applyProtection="1">
      <alignment horizontal="left" vertical="center"/>
    </xf>
    <xf numFmtId="0" fontId="74" fillId="5" borderId="0" xfId="3" quotePrefix="1" applyFont="1" applyFill="1" applyBorder="1" applyAlignment="1" applyProtection="1">
      <alignment horizontal="left" vertical="center"/>
    </xf>
    <xf numFmtId="0" fontId="8" fillId="5" borderId="0" xfId="0" quotePrefix="1" applyFont="1" applyFill="1" applyBorder="1" applyAlignment="1">
      <alignment horizontal="left" vertical="top" indent="1"/>
    </xf>
    <xf numFmtId="0" fontId="8" fillId="5" borderId="0" xfId="0" quotePrefix="1" applyFont="1" applyFill="1" applyBorder="1" applyAlignment="1">
      <alignment horizontal="left" vertical="top" wrapText="1" indent="1"/>
    </xf>
    <xf numFmtId="166" fontId="8" fillId="0" borderId="18" xfId="1" applyNumberFormat="1" applyFont="1" applyBorder="1"/>
    <xf numFmtId="164" fontId="0" fillId="0" borderId="18" xfId="1" applyNumberFormat="1" applyFont="1" applyBorder="1"/>
    <xf numFmtId="164" fontId="8" fillId="0" borderId="0" xfId="1" applyNumberFormat="1" applyFont="1" applyFill="1" applyBorder="1" applyAlignment="1">
      <alignment horizontal="right"/>
    </xf>
    <xf numFmtId="0" fontId="8" fillId="0" borderId="0" xfId="0" applyFont="1" applyAlignment="1">
      <alignment wrapText="1"/>
    </xf>
    <xf numFmtId="0" fontId="16" fillId="0" borderId="0" xfId="0" applyFont="1"/>
    <xf numFmtId="1" fontId="8" fillId="2" borderId="1" xfId="4" applyNumberFormat="1" applyFont="1" applyFill="1" applyBorder="1" applyAlignment="1">
      <alignment wrapText="1"/>
    </xf>
    <xf numFmtId="1" fontId="8" fillId="0" borderId="1" xfId="4" applyNumberFormat="1" applyFont="1" applyFill="1" applyBorder="1" applyAlignment="1">
      <alignment wrapText="1"/>
    </xf>
    <xf numFmtId="170" fontId="8" fillId="0" borderId="2" xfId="4" applyNumberFormat="1" applyFont="1" applyFill="1" applyBorder="1" applyAlignment="1">
      <alignment horizontal="center" wrapText="1"/>
    </xf>
    <xf numFmtId="1" fontId="8" fillId="0" borderId="1" xfId="4" quotePrefix="1" applyNumberFormat="1" applyFont="1" applyFill="1" applyBorder="1" applyAlignment="1">
      <alignment horizontal="left" wrapText="1"/>
    </xf>
    <xf numFmtId="170" fontId="8" fillId="0" borderId="2" xfId="4" applyNumberFormat="1" applyFont="1" applyFill="1" applyBorder="1" applyAlignment="1">
      <alignment horizontal="center"/>
    </xf>
    <xf numFmtId="9" fontId="8" fillId="0" borderId="1" xfId="2" quotePrefix="1" applyFont="1" applyFill="1" applyBorder="1" applyAlignment="1">
      <alignment horizontal="left" wrapText="1"/>
    </xf>
    <xf numFmtId="170" fontId="8" fillId="0" borderId="1" xfId="0" applyNumberFormat="1" applyFont="1" applyBorder="1" applyAlignment="1">
      <alignment horizontal="center"/>
    </xf>
    <xf numFmtId="0" fontId="8" fillId="5" borderId="0" xfId="0" applyNumberFormat="1" applyFont="1" applyFill="1" applyAlignment="1"/>
    <xf numFmtId="0" fontId="0" fillId="5" borderId="0" xfId="0" applyFont="1" applyFill="1"/>
    <xf numFmtId="0" fontId="0" fillId="5" borderId="0" xfId="0" applyFont="1" applyFill="1" applyAlignment="1">
      <alignment wrapText="1"/>
    </xf>
    <xf numFmtId="174" fontId="1" fillId="5" borderId="0" xfId="2" applyNumberFormat="1" applyFont="1" applyFill="1"/>
    <xf numFmtId="164" fontId="16" fillId="0" borderId="0" xfId="1" applyNumberFormat="1" applyFont="1" applyFill="1" applyBorder="1"/>
    <xf numFmtId="164" fontId="25" fillId="0" borderId="0" xfId="1" applyNumberFormat="1" applyFont="1" applyFill="1" applyBorder="1"/>
    <xf numFmtId="164" fontId="0" fillId="0" borderId="0" xfId="0" applyNumberFormat="1" applyFill="1" applyBorder="1" applyAlignment="1"/>
    <xf numFmtId="164" fontId="25" fillId="0" borderId="0" xfId="1" applyNumberFormat="1" applyFont="1" applyFill="1" applyBorder="1" applyAlignment="1">
      <alignment vertical="top" wrapText="1"/>
    </xf>
    <xf numFmtId="164" fontId="0" fillId="0" borderId="0" xfId="2" applyNumberFormat="1" applyFont="1" applyFill="1" applyBorder="1"/>
    <xf numFmtId="0" fontId="66" fillId="0" borderId="0" xfId="0" applyFont="1" applyFill="1" applyBorder="1" applyAlignment="1"/>
    <xf numFmtId="164" fontId="0" fillId="0" borderId="0" xfId="1" applyNumberFormat="1" applyFont="1" applyFill="1" applyBorder="1" applyAlignment="1"/>
    <xf numFmtId="164" fontId="0" fillId="0" borderId="0" xfId="1" applyNumberFormat="1" applyFont="1" applyFill="1" applyBorder="1" applyAlignment="1">
      <alignment horizontal="right"/>
    </xf>
    <xf numFmtId="175" fontId="0" fillId="0" borderId="0" xfId="0" applyNumberFormat="1" applyFill="1" applyBorder="1"/>
    <xf numFmtId="174" fontId="13" fillId="0" borderId="0" xfId="0" applyNumberFormat="1" applyFont="1" applyFill="1" applyBorder="1"/>
    <xf numFmtId="164" fontId="0" fillId="0" borderId="0" xfId="0" applyNumberFormat="1" applyFill="1" applyBorder="1"/>
    <xf numFmtId="1" fontId="24" fillId="2" borderId="0" xfId="4" applyNumberFormat="1" applyFont="1" applyFill="1" applyBorder="1" applyAlignment="1">
      <alignment horizontal="left"/>
    </xf>
    <xf numFmtId="1" fontId="24" fillId="2" borderId="0" xfId="4" applyNumberFormat="1" applyFont="1" applyFill="1" applyBorder="1" applyAlignment="1">
      <alignment wrapText="1"/>
    </xf>
    <xf numFmtId="1" fontId="24" fillId="2" borderId="0" xfId="4" applyNumberFormat="1" applyFont="1" applyFill="1" applyBorder="1" applyAlignment="1"/>
    <xf numFmtId="167" fontId="37" fillId="2" borderId="0" xfId="4" applyNumberFormat="1" applyFont="1" applyFill="1" applyBorder="1" applyAlignment="1"/>
    <xf numFmtId="167" fontId="61" fillId="2" borderId="0" xfId="4" applyNumberFormat="1" applyFont="1" applyFill="1" applyBorder="1" applyAlignment="1"/>
    <xf numFmtId="1" fontId="37" fillId="2" borderId="0" xfId="4" applyNumberFormat="1" applyFont="1" applyFill="1" applyBorder="1" applyAlignment="1"/>
    <xf numFmtId="167" fontId="24" fillId="2" borderId="11" xfId="4" applyNumberFormat="1" applyFont="1" applyFill="1" applyBorder="1" applyAlignment="1"/>
    <xf numFmtId="1" fontId="24" fillId="0" borderId="0" xfId="4" applyNumberFormat="1" applyFont="1" applyFill="1" applyBorder="1" applyAlignment="1">
      <alignment horizontal="left"/>
    </xf>
    <xf numFmtId="167" fontId="61" fillId="0" borderId="0" xfId="4" applyNumberFormat="1" applyFont="1" applyFill="1" applyBorder="1" applyAlignment="1"/>
    <xf numFmtId="167" fontId="24" fillId="0" borderId="11" xfId="4" applyNumberFormat="1" applyFont="1" applyFill="1" applyBorder="1" applyAlignment="1"/>
    <xf numFmtId="0" fontId="0" fillId="0" borderId="1" xfId="0" applyFont="1" applyFill="1" applyBorder="1" applyAlignment="1">
      <alignment horizontal="right"/>
    </xf>
    <xf numFmtId="0" fontId="13" fillId="0" borderId="12" xfId="0" applyFont="1" applyBorder="1"/>
    <xf numFmtId="0" fontId="13" fillId="0" borderId="1" xfId="0" applyFont="1" applyBorder="1" applyAlignment="1">
      <alignment horizontal="right"/>
    </xf>
    <xf numFmtId="0" fontId="37" fillId="0" borderId="0" xfId="0" applyFont="1" applyAlignment="1">
      <alignment horizontal="center" vertical="center" wrapText="1"/>
    </xf>
    <xf numFmtId="0" fontId="12" fillId="0" borderId="0" xfId="3" applyFont="1" applyAlignment="1" applyProtection="1">
      <alignment horizontal="center" vertical="center" wrapText="1"/>
    </xf>
    <xf numFmtId="170" fontId="13" fillId="6" borderId="0" xfId="0" applyNumberFormat="1" applyFont="1" applyFill="1" applyBorder="1"/>
    <xf numFmtId="164" fontId="13" fillId="0" borderId="0" xfId="0" applyNumberFormat="1" applyFont="1" applyBorder="1"/>
    <xf numFmtId="164" fontId="23" fillId="0" borderId="1" xfId="0" applyNumberFormat="1" applyFont="1" applyBorder="1" applyAlignment="1"/>
    <xf numFmtId="0" fontId="13" fillId="0" borderId="1" xfId="0" applyFont="1" applyBorder="1" applyAlignment="1"/>
    <xf numFmtId="0" fontId="23" fillId="0" borderId="1" xfId="0" quotePrefix="1" applyFont="1" applyBorder="1" applyAlignment="1">
      <alignment horizontal="left"/>
    </xf>
    <xf numFmtId="0" fontId="23" fillId="0" borderId="1" xfId="0" quotePrefix="1" applyFont="1" applyFill="1" applyBorder="1" applyAlignment="1">
      <alignment horizontal="left"/>
    </xf>
    <xf numFmtId="164" fontId="23" fillId="0" borderId="1" xfId="1" applyNumberFormat="1" applyFont="1" applyFill="1" applyBorder="1" applyAlignment="1"/>
    <xf numFmtId="164" fontId="23" fillId="0" borderId="1" xfId="0" applyNumberFormat="1" applyFont="1" applyFill="1" applyBorder="1" applyAlignment="1"/>
    <xf numFmtId="0" fontId="37" fillId="2" borderId="1" xfId="0" applyFont="1" applyFill="1" applyBorder="1"/>
    <xf numFmtId="164" fontId="37" fillId="2" borderId="1" xfId="0" applyNumberFormat="1" applyFont="1" applyFill="1" applyBorder="1" applyAlignment="1"/>
    <xf numFmtId="164" fontId="24" fillId="2" borderId="1" xfId="1" applyNumberFormat="1" applyFont="1" applyFill="1" applyBorder="1" applyAlignment="1"/>
    <xf numFmtId="0" fontId="23" fillId="0" borderId="0" xfId="0" applyFont="1" applyAlignment="1">
      <alignment horizontal="right"/>
    </xf>
    <xf numFmtId="0" fontId="0" fillId="0" borderId="0" xfId="0" applyBorder="1" applyAlignment="1">
      <alignment horizontal="right"/>
    </xf>
    <xf numFmtId="1" fontId="0" fillId="0" borderId="0" xfId="0" applyNumberFormat="1" applyFill="1"/>
    <xf numFmtId="0" fontId="47" fillId="0" borderId="0" xfId="0" applyFont="1" applyBorder="1"/>
    <xf numFmtId="164" fontId="0" fillId="0" borderId="0" xfId="1" applyNumberFormat="1" applyFont="1" applyBorder="1"/>
    <xf numFmtId="164" fontId="16" fillId="0" borderId="0" xfId="1" applyNumberFormat="1" applyFont="1" applyFill="1" applyBorder="1" applyAlignment="1">
      <alignment horizontal="center" vertical="top" wrapText="1"/>
    </xf>
    <xf numFmtId="164" fontId="0" fillId="0" borderId="0" xfId="2" applyNumberFormat="1" applyFont="1" applyBorder="1"/>
    <xf numFmtId="164" fontId="24" fillId="0" borderId="0" xfId="1" applyNumberFormat="1" applyFont="1" applyFill="1" applyBorder="1" applyAlignment="1">
      <alignment vertical="top" wrapText="1"/>
    </xf>
    <xf numFmtId="0" fontId="0" fillId="0" borderId="0" xfId="0" quotePrefix="1" applyFill="1" applyBorder="1"/>
    <xf numFmtId="164" fontId="62" fillId="0" borderId="0" xfId="1" applyNumberFormat="1" applyFont="1" applyFill="1" applyBorder="1"/>
    <xf numFmtId="9" fontId="23" fillId="7" borderId="1" xfId="2" applyFont="1" applyFill="1" applyBorder="1" applyAlignment="1">
      <alignment vertical="center"/>
    </xf>
    <xf numFmtId="171" fontId="8" fillId="0" borderId="18" xfId="0" applyNumberFormat="1" applyFont="1" applyBorder="1"/>
    <xf numFmtId="171" fontId="23" fillId="0" borderId="18" xfId="0" applyNumberFormat="1" applyFont="1" applyBorder="1"/>
    <xf numFmtId="166" fontId="37" fillId="5" borderId="0" xfId="0" applyNumberFormat="1" applyFont="1" applyFill="1"/>
    <xf numFmtId="0" fontId="76" fillId="0" borderId="0" xfId="0" applyFont="1"/>
    <xf numFmtId="0" fontId="8" fillId="5" borderId="0" xfId="0" applyFont="1" applyFill="1" applyAlignment="1"/>
    <xf numFmtId="1" fontId="23" fillId="5" borderId="0" xfId="4" applyNumberFormat="1" applyFont="1" applyFill="1" applyBorder="1" applyAlignment="1"/>
    <xf numFmtId="0" fontId="19" fillId="5" borderId="0" xfId="0" applyFont="1" applyFill="1" applyBorder="1" applyAlignment="1"/>
    <xf numFmtId="0" fontId="23" fillId="5" borderId="0" xfId="0" applyFont="1" applyFill="1" applyBorder="1" applyAlignment="1">
      <alignment wrapText="1"/>
    </xf>
    <xf numFmtId="166" fontId="13" fillId="5" borderId="5" xfId="0" applyNumberFormat="1" applyFont="1" applyFill="1" applyBorder="1"/>
    <xf numFmtId="0" fontId="13" fillId="5" borderId="8" xfId="0" applyFont="1" applyFill="1" applyBorder="1"/>
    <xf numFmtId="166" fontId="13" fillId="5" borderId="8" xfId="0" applyNumberFormat="1" applyFont="1" applyFill="1" applyBorder="1"/>
    <xf numFmtId="0" fontId="33" fillId="5" borderId="11" xfId="0" applyFont="1" applyFill="1" applyBorder="1" applyAlignment="1"/>
    <xf numFmtId="0" fontId="32" fillId="5" borderId="11" xfId="0" applyFont="1" applyFill="1" applyBorder="1" applyAlignment="1"/>
    <xf numFmtId="0" fontId="30" fillId="5" borderId="0" xfId="0" applyFont="1" applyFill="1" applyBorder="1" applyAlignment="1"/>
    <xf numFmtId="0" fontId="0" fillId="5" borderId="0" xfId="0" applyFont="1" applyFill="1" applyBorder="1" applyAlignment="1">
      <alignment horizontal="left"/>
    </xf>
    <xf numFmtId="167" fontId="23" fillId="5" borderId="0" xfId="4" applyNumberFormat="1" applyFont="1" applyFill="1" applyBorder="1" applyAlignment="1">
      <alignment horizontal="left"/>
    </xf>
    <xf numFmtId="0" fontId="23" fillId="5" borderId="7" xfId="0" applyFont="1" applyFill="1" applyBorder="1" applyAlignment="1"/>
    <xf numFmtId="0" fontId="1" fillId="5" borderId="0" xfId="0" applyFont="1" applyFill="1" applyAlignment="1"/>
    <xf numFmtId="166" fontId="8" fillId="5" borderId="0" xfId="0" applyNumberFormat="1" applyFont="1" applyFill="1" applyAlignment="1">
      <alignment wrapText="1"/>
    </xf>
    <xf numFmtId="0" fontId="1" fillId="5" borderId="0" xfId="0" applyFont="1" applyFill="1" applyBorder="1" applyAlignment="1">
      <alignment horizontal="right"/>
    </xf>
    <xf numFmtId="166" fontId="16" fillId="5" borderId="0" xfId="1" applyNumberFormat="1" applyFont="1" applyFill="1" applyBorder="1" applyAlignment="1">
      <alignment wrapText="1"/>
    </xf>
    <xf numFmtId="164" fontId="8" fillId="5" borderId="0" xfId="1" applyNumberFormat="1" applyFont="1" applyFill="1"/>
    <xf numFmtId="164" fontId="16" fillId="5" borderId="0" xfId="0" applyNumberFormat="1" applyFont="1" applyFill="1"/>
    <xf numFmtId="164" fontId="16" fillId="5" borderId="0" xfId="0" applyNumberFormat="1" applyFont="1" applyFill="1" applyBorder="1" applyAlignment="1">
      <alignment horizontal="center"/>
    </xf>
    <xf numFmtId="0" fontId="16" fillId="5" borderId="0" xfId="0" applyFont="1" applyFill="1" applyBorder="1" applyAlignment="1">
      <alignment horizontal="center"/>
    </xf>
    <xf numFmtId="170" fontId="0" fillId="0" borderId="0" xfId="0" applyNumberFormat="1"/>
    <xf numFmtId="0" fontId="77" fillId="5" borderId="0" xfId="0" applyFont="1" applyFill="1" applyAlignment="1">
      <alignment horizontal="left" vertical="center"/>
    </xf>
    <xf numFmtId="0" fontId="63" fillId="5" borderId="0" xfId="0" applyFont="1" applyFill="1"/>
    <xf numFmtId="0" fontId="40" fillId="5" borderId="0" xfId="0" applyFont="1" applyFill="1"/>
    <xf numFmtId="170" fontId="23" fillId="6" borderId="1" xfId="0" applyNumberFormat="1" applyFont="1" applyFill="1" applyBorder="1" applyAlignment="1">
      <alignment horizontal="center"/>
    </xf>
    <xf numFmtId="0" fontId="9" fillId="5" borderId="0" xfId="0" applyFont="1" applyFill="1" applyAlignment="1">
      <alignment horizontal="right" wrapText="1"/>
    </xf>
    <xf numFmtId="174" fontId="23" fillId="0" borderId="1" xfId="0" applyNumberFormat="1" applyFont="1" applyFill="1" applyBorder="1" applyAlignment="1">
      <alignment horizontal="right" vertical="center" indent="1"/>
    </xf>
    <xf numFmtId="0" fontId="23" fillId="0" borderId="1" xfId="0" applyNumberFormat="1" applyFont="1" applyFill="1" applyBorder="1" applyAlignment="1">
      <alignment horizontal="right" vertical="center" indent="1"/>
    </xf>
    <xf numFmtId="0" fontId="23" fillId="0" borderId="1" xfId="0" quotePrefix="1" applyFont="1" applyFill="1" applyBorder="1" applyAlignment="1">
      <alignment horizontal="left" wrapText="1"/>
    </xf>
    <xf numFmtId="0" fontId="23" fillId="5" borderId="0" xfId="0" applyFont="1" applyFill="1" applyBorder="1" applyAlignment="1">
      <alignment horizontal="left" vertical="center" wrapText="1" indent="1"/>
    </xf>
    <xf numFmtId="174" fontId="23" fillId="6" borderId="0" xfId="0" applyNumberFormat="1" applyFont="1" applyFill="1"/>
    <xf numFmtId="174" fontId="23" fillId="0" borderId="0" xfId="0" applyNumberFormat="1" applyFont="1" applyFill="1"/>
    <xf numFmtId="174" fontId="13" fillId="6" borderId="0" xfId="0" applyNumberFormat="1" applyFont="1" applyFill="1"/>
    <xf numFmtId="0" fontId="8" fillId="6" borderId="0" xfId="0" applyFont="1" applyFill="1" applyBorder="1"/>
    <xf numFmtId="0" fontId="8" fillId="6" borderId="0" xfId="0" applyFont="1" applyFill="1" applyBorder="1" applyAlignment="1">
      <alignment horizontal="left"/>
    </xf>
    <xf numFmtId="0" fontId="8" fillId="0" borderId="0" xfId="0" quotePrefix="1" applyFont="1"/>
    <xf numFmtId="179" fontId="37" fillId="0" borderId="1" xfId="0" applyNumberFormat="1" applyFont="1" applyBorder="1"/>
    <xf numFmtId="10" fontId="1" fillId="0" borderId="1" xfId="0" applyNumberFormat="1" applyFont="1" applyBorder="1"/>
    <xf numFmtId="10" fontId="0" fillId="0" borderId="1" xfId="2" applyNumberFormat="1" applyFont="1" applyBorder="1"/>
    <xf numFmtId="10" fontId="23" fillId="11" borderId="0" xfId="0" applyNumberFormat="1" applyFont="1" applyFill="1"/>
    <xf numFmtId="0" fontId="23" fillId="7" borderId="1" xfId="0" applyNumberFormat="1" applyFont="1" applyFill="1" applyBorder="1" applyAlignment="1">
      <alignment horizontal="right" vertical="center" indent="1"/>
    </xf>
    <xf numFmtId="0" fontId="23" fillId="0" borderId="28" xfId="0" quotePrefix="1" applyFont="1" applyFill="1" applyBorder="1" applyAlignment="1">
      <alignment horizontal="left" vertical="center" wrapText="1" indent="1"/>
    </xf>
    <xf numFmtId="0" fontId="23" fillId="0" borderId="28" xfId="0" quotePrefix="1" applyNumberFormat="1" applyFont="1" applyFill="1" applyBorder="1" applyAlignment="1">
      <alignment horizontal="left" vertical="center" wrapText="1" indent="1"/>
    </xf>
    <xf numFmtId="164" fontId="24" fillId="0" borderId="0" xfId="0" applyNumberFormat="1" applyFont="1"/>
    <xf numFmtId="0" fontId="13" fillId="0" borderId="0" xfId="0" applyFont="1" applyAlignment="1">
      <alignment horizontal="right"/>
    </xf>
    <xf numFmtId="164" fontId="3" fillId="0" borderId="0" xfId="1" applyNumberFormat="1" applyFont="1" applyAlignment="1">
      <alignment horizontal="right"/>
    </xf>
    <xf numFmtId="174" fontId="13" fillId="0" borderId="0" xfId="2" applyNumberFormat="1" applyFont="1" applyFill="1"/>
    <xf numFmtId="0" fontId="12" fillId="5" borderId="0" xfId="3" quotePrefix="1" applyFont="1" applyFill="1" applyAlignment="1" applyProtection="1"/>
    <xf numFmtId="0" fontId="12" fillId="5" borderId="0" xfId="3" quotePrefix="1" applyFont="1" applyFill="1" applyAlignment="1" applyProtection="1">
      <alignment vertical="center"/>
    </xf>
    <xf numFmtId="0" fontId="13" fillId="5" borderId="0" xfId="0" applyFont="1" applyFill="1" applyAlignment="1">
      <alignment vertical="center"/>
    </xf>
    <xf numFmtId="0" fontId="43" fillId="5" borderId="0" xfId="0" applyFont="1" applyFill="1" applyBorder="1" applyAlignment="1">
      <alignment vertical="center"/>
    </xf>
    <xf numFmtId="10" fontId="23" fillId="0" borderId="18" xfId="2" applyNumberFormat="1" applyFont="1" applyBorder="1"/>
    <xf numFmtId="164" fontId="21" fillId="0" borderId="19" xfId="1" applyNumberFormat="1" applyFont="1" applyBorder="1"/>
    <xf numFmtId="0" fontId="79" fillId="0" borderId="0" xfId="0" applyFont="1"/>
    <xf numFmtId="1" fontId="80" fillId="0" borderId="0" xfId="4" applyNumberFormat="1" applyFont="1" applyFill="1" applyBorder="1" applyAlignment="1">
      <alignment horizontal="right"/>
    </xf>
    <xf numFmtId="1" fontId="80" fillId="0" borderId="0" xfId="4" applyNumberFormat="1" applyFont="1" applyFill="1" applyBorder="1" applyAlignment="1">
      <alignment horizontal="left"/>
    </xf>
    <xf numFmtId="164" fontId="23" fillId="7" borderId="1" xfId="1" applyNumberFormat="1" applyFont="1" applyFill="1" applyBorder="1" applyAlignment="1">
      <alignment horizontal="right" vertical="center" indent="1"/>
    </xf>
    <xf numFmtId="43" fontId="13" fillId="0" borderId="0" xfId="0" applyNumberFormat="1" applyFont="1"/>
    <xf numFmtId="0" fontId="13" fillId="5" borderId="0" xfId="0" applyFont="1" applyFill="1" applyAlignment="1"/>
    <xf numFmtId="0" fontId="79" fillId="0" borderId="0" xfId="0" applyFont="1" applyBorder="1"/>
    <xf numFmtId="166" fontId="80" fillId="0" borderId="0" xfId="4" applyNumberFormat="1" applyFont="1" applyFill="1" applyBorder="1" applyAlignment="1">
      <alignment horizontal="right"/>
    </xf>
    <xf numFmtId="166" fontId="23" fillId="0" borderId="40" xfId="1" applyNumberFormat="1" applyFont="1" applyBorder="1"/>
    <xf numFmtId="174" fontId="23" fillId="0" borderId="40" xfId="2" applyNumberFormat="1" applyFont="1" applyBorder="1"/>
    <xf numFmtId="171" fontId="13" fillId="0" borderId="40" xfId="0" applyNumberFormat="1" applyFont="1" applyBorder="1"/>
    <xf numFmtId="176" fontId="23" fillId="0" borderId="0" xfId="1" applyNumberFormat="1" applyFont="1" applyFill="1"/>
    <xf numFmtId="0" fontId="81" fillId="5" borderId="0" xfId="0" applyFont="1" applyFill="1" applyBorder="1" applyAlignment="1">
      <alignment vertical="center"/>
    </xf>
    <xf numFmtId="1" fontId="21" fillId="0" borderId="0" xfId="4" applyNumberFormat="1" applyFont="1" applyFill="1" applyBorder="1" applyAlignment="1">
      <alignment horizontal="right"/>
    </xf>
    <xf numFmtId="166" fontId="21" fillId="0" borderId="0" xfId="1" applyNumberFormat="1" applyFont="1" applyFill="1" applyBorder="1" applyAlignment="1"/>
    <xf numFmtId="178" fontId="13" fillId="0" borderId="0" xfId="0" applyNumberFormat="1" applyFont="1"/>
    <xf numFmtId="166" fontId="9" fillId="0" borderId="0" xfId="0" applyNumberFormat="1" applyFont="1"/>
    <xf numFmtId="0" fontId="13" fillId="0" borderId="2" xfId="0" quotePrefix="1" applyFont="1" applyBorder="1" applyAlignment="1">
      <alignment vertical="center" wrapText="1"/>
    </xf>
    <xf numFmtId="174" fontId="13" fillId="0" borderId="1" xfId="2" applyNumberFormat="1" applyFont="1" applyBorder="1" applyAlignment="1">
      <alignment vertical="center"/>
    </xf>
    <xf numFmtId="10" fontId="13" fillId="0" borderId="1" xfId="0" applyNumberFormat="1" applyFont="1" applyFill="1" applyBorder="1" applyAlignment="1">
      <alignment vertical="center"/>
    </xf>
    <xf numFmtId="0" fontId="13" fillId="0" borderId="1" xfId="0" applyNumberFormat="1" applyFont="1" applyBorder="1"/>
    <xf numFmtId="1" fontId="13" fillId="0" borderId="1" xfId="2" applyNumberFormat="1" applyFont="1" applyBorder="1" applyAlignment="1">
      <alignment vertical="center"/>
    </xf>
    <xf numFmtId="0" fontId="13" fillId="0" borderId="1" xfId="2" applyNumberFormat="1" applyFont="1" applyBorder="1" applyAlignment="1">
      <alignment vertical="center"/>
    </xf>
    <xf numFmtId="1" fontId="13" fillId="0" borderId="1" xfId="0" applyNumberFormat="1" applyFont="1" applyFill="1" applyBorder="1" applyAlignment="1">
      <alignment vertical="center"/>
    </xf>
    <xf numFmtId="170" fontId="13" fillId="0" borderId="1" xfId="0" applyNumberFormat="1" applyFont="1" applyFill="1" applyBorder="1" applyAlignment="1">
      <alignment vertical="center"/>
    </xf>
    <xf numFmtId="0" fontId="13" fillId="0" borderId="2" xfId="0" applyFont="1" applyBorder="1" applyAlignment="1">
      <alignment vertical="center" wrapText="1"/>
    </xf>
    <xf numFmtId="0" fontId="13" fillId="0" borderId="1" xfId="0" quotePrefix="1" applyFont="1" applyBorder="1" applyAlignment="1">
      <alignment wrapText="1"/>
    </xf>
    <xf numFmtId="0" fontId="13" fillId="0" borderId="2" xfId="0" applyFont="1" applyFill="1" applyBorder="1" applyAlignment="1">
      <alignment vertical="center" wrapText="1"/>
    </xf>
    <xf numFmtId="0" fontId="9" fillId="0" borderId="0" xfId="0" applyFont="1" applyAlignment="1">
      <alignment wrapText="1"/>
    </xf>
    <xf numFmtId="0" fontId="13" fillId="0" borderId="0" xfId="0" applyFont="1" applyFill="1" applyBorder="1" applyAlignment="1"/>
    <xf numFmtId="0" fontId="13" fillId="0" borderId="0" xfId="0" quotePrefix="1" applyFont="1" applyFill="1" applyBorder="1" applyAlignment="1"/>
    <xf numFmtId="0" fontId="23" fillId="0" borderId="0" xfId="0" applyFont="1" applyBorder="1" applyAlignment="1">
      <alignment wrapText="1"/>
    </xf>
    <xf numFmtId="164" fontId="24" fillId="0" borderId="1" xfId="0" applyNumberFormat="1" applyFont="1" applyFill="1" applyBorder="1" applyAlignment="1"/>
    <xf numFmtId="9" fontId="13" fillId="0" borderId="0" xfId="2" applyFont="1"/>
    <xf numFmtId="2" fontId="13" fillId="0" borderId="0" xfId="0" applyNumberFormat="1" applyFont="1"/>
    <xf numFmtId="0" fontId="13" fillId="0" borderId="0" xfId="0" applyFont="1" applyAlignment="1">
      <alignment horizontal="left"/>
    </xf>
    <xf numFmtId="0" fontId="23" fillId="0" borderId="1" xfId="0" applyFont="1" applyFill="1" applyBorder="1" applyAlignment="1">
      <alignment horizontal="center"/>
    </xf>
    <xf numFmtId="2" fontId="13" fillId="5" borderId="0" xfId="0" applyNumberFormat="1" applyFont="1" applyFill="1" applyBorder="1" applyAlignment="1"/>
    <xf numFmtId="166" fontId="13" fillId="0" borderId="1" xfId="0" applyNumberFormat="1" applyFont="1" applyBorder="1" applyAlignment="1">
      <alignment wrapText="1"/>
    </xf>
    <xf numFmtId="1" fontId="0" fillId="0" borderId="1" xfId="0" applyNumberFormat="1" applyFont="1" applyBorder="1" applyAlignment="1">
      <alignment vertical="center"/>
    </xf>
    <xf numFmtId="0" fontId="0" fillId="6" borderId="1" xfId="0" applyFont="1" applyFill="1" applyBorder="1" applyAlignment="1">
      <alignment vertical="center"/>
    </xf>
    <xf numFmtId="0" fontId="13" fillId="0" borderId="1" xfId="0" quotePrefix="1" applyFont="1" applyFill="1" applyBorder="1" applyAlignment="1">
      <alignment wrapText="1"/>
    </xf>
    <xf numFmtId="164" fontId="13" fillId="0" borderId="1" xfId="0" applyNumberFormat="1" applyFont="1" applyFill="1" applyBorder="1" applyAlignment="1">
      <alignment horizontal="center" vertical="center"/>
    </xf>
    <xf numFmtId="164" fontId="13" fillId="0" borderId="1" xfId="0" applyNumberFormat="1" applyFont="1" applyFill="1" applyBorder="1" applyAlignment="1">
      <alignment horizontal="left" vertical="center" wrapText="1"/>
    </xf>
    <xf numFmtId="177" fontId="13" fillId="0" borderId="1" xfId="0" applyNumberFormat="1" applyFont="1" applyFill="1" applyBorder="1" applyAlignment="1">
      <alignment horizontal="right" vertical="center"/>
    </xf>
    <xf numFmtId="1" fontId="13" fillId="0" borderId="1" xfId="4" quotePrefix="1" applyNumberFormat="1" applyFont="1" applyFill="1" applyBorder="1" applyAlignment="1">
      <alignment horizontal="left"/>
    </xf>
    <xf numFmtId="9" fontId="0" fillId="7" borderId="0" xfId="2" applyFont="1" applyFill="1"/>
    <xf numFmtId="0" fontId="63" fillId="0" borderId="0" xfId="0" applyFont="1" applyFill="1" applyAlignment="1">
      <alignment wrapText="1"/>
    </xf>
    <xf numFmtId="8" fontId="0" fillId="0" borderId="0" xfId="0" applyNumberFormat="1" applyFill="1"/>
    <xf numFmtId="164" fontId="82" fillId="0" borderId="1" xfId="1" applyNumberFormat="1" applyFont="1" applyBorder="1" applyAlignment="1"/>
    <xf numFmtId="164" fontId="83" fillId="0" borderId="1" xfId="1" applyNumberFormat="1" applyFont="1" applyBorder="1" applyAlignment="1"/>
    <xf numFmtId="0" fontId="0" fillId="2" borderId="1" xfId="0" applyFont="1" applyFill="1" applyBorder="1" applyAlignment="1"/>
    <xf numFmtId="0" fontId="0" fillId="2" borderId="3" xfId="0" applyFont="1" applyFill="1" applyBorder="1" applyAlignment="1">
      <alignment horizontal="right" vertical="center" wrapText="1"/>
    </xf>
    <xf numFmtId="164" fontId="0" fillId="2" borderId="3" xfId="1" applyNumberFormat="1" applyFont="1" applyFill="1" applyBorder="1" applyAlignment="1">
      <alignment horizontal="right" vertical="center" wrapText="1"/>
    </xf>
    <xf numFmtId="0" fontId="0" fillId="2" borderId="1" xfId="0" applyFont="1" applyFill="1" applyBorder="1" applyAlignment="1">
      <alignment horizontal="left" vertical="center"/>
    </xf>
    <xf numFmtId="0" fontId="0" fillId="2" borderId="1" xfId="0" quotePrefix="1" applyFont="1" applyFill="1" applyBorder="1" applyAlignment="1">
      <alignment horizontal="left" vertical="center" wrapText="1"/>
    </xf>
    <xf numFmtId="0" fontId="2" fillId="2" borderId="1" xfId="0" applyFont="1" applyFill="1" applyBorder="1" applyAlignment="1">
      <alignment horizontal="left" vertical="center"/>
    </xf>
    <xf numFmtId="0" fontId="24" fillId="11" borderId="1" xfId="0" applyFont="1" applyFill="1" applyBorder="1" applyAlignment="1">
      <alignment horizontal="right" wrapText="1"/>
    </xf>
    <xf numFmtId="166" fontId="24" fillId="11" borderId="1" xfId="0" applyNumberFormat="1" applyFont="1" applyFill="1" applyBorder="1" applyAlignment="1">
      <alignment horizontal="right" wrapText="1"/>
    </xf>
    <xf numFmtId="0" fontId="23" fillId="11" borderId="1" xfId="0" applyFont="1" applyFill="1" applyBorder="1"/>
    <xf numFmtId="0" fontId="23" fillId="2" borderId="1" xfId="0" applyFont="1" applyFill="1" applyBorder="1" applyAlignment="1">
      <alignment horizontal="left" vertical="center"/>
    </xf>
    <xf numFmtId="0" fontId="13" fillId="2" borderId="1" xfId="0" applyFont="1" applyFill="1" applyBorder="1" applyAlignment="1">
      <alignment horizontal="left"/>
    </xf>
    <xf numFmtId="166" fontId="23" fillId="11" borderId="13" xfId="1" applyNumberFormat="1" applyFont="1" applyFill="1" applyBorder="1"/>
    <xf numFmtId="164" fontId="23" fillId="2" borderId="17" xfId="1" applyNumberFormat="1" applyFont="1" applyFill="1" applyBorder="1"/>
    <xf numFmtId="164" fontId="13" fillId="11" borderId="13" xfId="0" applyNumberFormat="1" applyFont="1" applyFill="1" applyBorder="1"/>
    <xf numFmtId="164" fontId="23" fillId="11" borderId="17" xfId="1" applyNumberFormat="1" applyFont="1" applyFill="1" applyBorder="1"/>
    <xf numFmtId="0" fontId="8" fillId="11" borderId="1" xfId="0" applyFont="1" applyFill="1" applyBorder="1" applyAlignment="1">
      <alignment horizontal="right" wrapText="1"/>
    </xf>
    <xf numFmtId="10" fontId="0" fillId="11" borderId="1" xfId="0" applyNumberFormat="1" applyFill="1" applyBorder="1"/>
    <xf numFmtId="0" fontId="0" fillId="11" borderId="1" xfId="0" applyFill="1" applyBorder="1"/>
    <xf numFmtId="166" fontId="0" fillId="11" borderId="1" xfId="0" applyNumberFormat="1" applyFill="1" applyBorder="1"/>
    <xf numFmtId="164" fontId="37" fillId="11" borderId="0" xfId="1" applyNumberFormat="1" applyFont="1" applyFill="1" applyAlignment="1">
      <alignment horizontal="right" vertical="center" wrapText="1"/>
    </xf>
    <xf numFmtId="1" fontId="24" fillId="11" borderId="0" xfId="4" applyNumberFormat="1" applyFont="1" applyFill="1" applyBorder="1" applyAlignment="1"/>
    <xf numFmtId="49" fontId="24" fillId="11" borderId="0" xfId="4" applyNumberFormat="1" applyFont="1" applyFill="1" applyBorder="1" applyAlignment="1">
      <alignment horizontal="right" indent="1"/>
    </xf>
    <xf numFmtId="166" fontId="13" fillId="11" borderId="10" xfId="4" applyNumberFormat="1" applyFont="1" applyFill="1" applyBorder="1" applyAlignment="1"/>
    <xf numFmtId="164" fontId="8" fillId="11" borderId="23" xfId="1" applyNumberFormat="1" applyFont="1" applyFill="1" applyBorder="1"/>
    <xf numFmtId="164" fontId="16" fillId="11" borderId="22" xfId="0" applyNumberFormat="1" applyFont="1" applyFill="1" applyBorder="1"/>
    <xf numFmtId="164" fontId="24" fillId="11" borderId="12" xfId="1" applyNumberFormat="1" applyFont="1" applyFill="1" applyBorder="1"/>
    <xf numFmtId="164" fontId="23" fillId="11" borderId="21" xfId="1" applyNumberFormat="1" applyFont="1" applyFill="1" applyBorder="1"/>
    <xf numFmtId="0" fontId="0" fillId="2" borderId="14" xfId="0" applyFill="1" applyBorder="1"/>
    <xf numFmtId="164" fontId="23" fillId="2" borderId="19" xfId="1" applyNumberFormat="1" applyFont="1" applyFill="1" applyBorder="1" applyAlignment="1">
      <alignment horizontal="center" wrapText="1"/>
    </xf>
    <xf numFmtId="164" fontId="23" fillId="2" borderId="13" xfId="0" applyNumberFormat="1" applyFont="1" applyFill="1" applyBorder="1" applyAlignment="1">
      <alignment horizontal="center"/>
    </xf>
    <xf numFmtId="0" fontId="13" fillId="2" borderId="13" xfId="0" applyFont="1" applyFill="1" applyBorder="1" applyAlignment="1">
      <alignment horizontal="center"/>
    </xf>
    <xf numFmtId="164" fontId="16" fillId="2" borderId="1" xfId="1" applyNumberFormat="1" applyFont="1" applyFill="1" applyBorder="1"/>
    <xf numFmtId="0" fontId="8" fillId="2" borderId="1" xfId="1" applyNumberFormat="1" applyFont="1" applyFill="1" applyBorder="1"/>
    <xf numFmtId="164" fontId="23" fillId="2" borderId="1" xfId="1" applyNumberFormat="1" applyFont="1" applyFill="1" applyBorder="1" applyAlignment="1"/>
    <xf numFmtId="164" fontId="38" fillId="2" borderId="1" xfId="1" quotePrefix="1" applyNumberFormat="1" applyFont="1" applyFill="1" applyBorder="1" applyAlignment="1">
      <alignment vertical="center" wrapText="1"/>
    </xf>
    <xf numFmtId="164" fontId="8" fillId="2" borderId="10" xfId="1" applyNumberFormat="1" applyFont="1" applyFill="1" applyBorder="1"/>
    <xf numFmtId="164" fontId="44" fillId="2" borderId="10" xfId="0" applyNumberFormat="1" applyFont="1" applyFill="1" applyBorder="1"/>
    <xf numFmtId="164" fontId="16" fillId="2" borderId="10" xfId="0" applyNumberFormat="1" applyFont="1" applyFill="1" applyBorder="1"/>
    <xf numFmtId="164" fontId="24" fillId="0" borderId="1" xfId="1" applyNumberFormat="1" applyFont="1" applyFill="1" applyBorder="1"/>
    <xf numFmtId="164" fontId="83" fillId="2" borderId="1" xfId="1" applyNumberFormat="1" applyFont="1" applyFill="1" applyBorder="1"/>
    <xf numFmtId="164" fontId="24" fillId="11" borderId="22" xfId="0" applyNumberFormat="1" applyFont="1" applyFill="1" applyBorder="1"/>
    <xf numFmtId="164" fontId="58" fillId="0" borderId="0" xfId="1" quotePrefix="1" applyNumberFormat="1" applyFont="1" applyAlignment="1">
      <alignment horizontal="center"/>
    </xf>
    <xf numFmtId="0" fontId="0" fillId="2" borderId="0" xfId="0" applyFill="1"/>
    <xf numFmtId="0" fontId="13" fillId="2" borderId="5" xfId="0" applyFont="1" applyFill="1" applyBorder="1" applyAlignment="1">
      <alignment horizontal="left" indent="1"/>
    </xf>
    <xf numFmtId="164" fontId="13" fillId="2" borderId="5" xfId="1" applyNumberFormat="1" applyFont="1" applyFill="1" applyBorder="1"/>
    <xf numFmtId="0" fontId="13" fillId="2" borderId="5" xfId="0" applyFont="1" applyFill="1" applyBorder="1"/>
    <xf numFmtId="43" fontId="13" fillId="2" borderId="5" xfId="1" applyNumberFormat="1" applyFont="1" applyFill="1" applyBorder="1" applyAlignment="1">
      <alignment horizontal="left" indent="1"/>
    </xf>
    <xf numFmtId="9" fontId="13" fillId="2" borderId="5" xfId="2" applyFont="1" applyFill="1" applyBorder="1" applyAlignment="1">
      <alignment horizontal="right" indent="1"/>
    </xf>
    <xf numFmtId="0" fontId="13" fillId="2" borderId="8" xfId="0" applyFont="1" applyFill="1" applyBorder="1" applyAlignment="1">
      <alignment horizontal="left" indent="1"/>
    </xf>
    <xf numFmtId="164" fontId="13" fillId="2" borderId="8" xfId="1" applyNumberFormat="1" applyFont="1" applyFill="1" applyBorder="1"/>
    <xf numFmtId="0" fontId="13" fillId="2" borderId="8" xfId="0" applyFont="1" applyFill="1" applyBorder="1"/>
    <xf numFmtId="43" fontId="13" fillId="2" borderId="8" xfId="1" applyNumberFormat="1" applyFont="1" applyFill="1" applyBorder="1" applyAlignment="1">
      <alignment horizontal="left" indent="1"/>
    </xf>
    <xf numFmtId="9" fontId="13" fillId="2" borderId="8" xfId="2" applyFont="1" applyFill="1" applyBorder="1" applyAlignment="1">
      <alignment horizontal="right" indent="1"/>
    </xf>
    <xf numFmtId="0" fontId="37" fillId="2" borderId="0" xfId="0" applyFont="1" applyFill="1" applyAlignment="1">
      <alignment horizontal="left" indent="1"/>
    </xf>
    <xf numFmtId="43" fontId="37" fillId="2" borderId="0" xfId="0" applyNumberFormat="1" applyFont="1" applyFill="1" applyAlignment="1">
      <alignment horizontal="left" indent="1"/>
    </xf>
    <xf numFmtId="0" fontId="13" fillId="2" borderId="0" xfId="0" applyFont="1" applyFill="1" applyAlignment="1">
      <alignment horizontal="right" indent="1"/>
    </xf>
    <xf numFmtId="0" fontId="37" fillId="2" borderId="0" xfId="0" applyFont="1" applyFill="1" applyAlignment="1">
      <alignment horizontal="center"/>
    </xf>
    <xf numFmtId="0" fontId="37" fillId="2" borderId="0" xfId="0" applyFont="1" applyFill="1" applyAlignment="1">
      <alignment horizontal="right" indent="1"/>
    </xf>
    <xf numFmtId="0" fontId="13" fillId="2" borderId="0" xfId="0" applyFont="1" applyFill="1"/>
    <xf numFmtId="0" fontId="24" fillId="2" borderId="0" xfId="0" applyFont="1" applyFill="1"/>
    <xf numFmtId="0" fontId="28" fillId="2" borderId="0" xfId="0" applyFont="1" applyFill="1"/>
    <xf numFmtId="0" fontId="43" fillId="0" borderId="1" xfId="0" applyFont="1" applyFill="1" applyBorder="1"/>
    <xf numFmtId="164" fontId="13" fillId="0" borderId="1" xfId="1" quotePrefix="1" applyNumberFormat="1" applyFont="1" applyFill="1" applyBorder="1" applyAlignment="1">
      <alignment horizontal="center"/>
    </xf>
    <xf numFmtId="182" fontId="13" fillId="0" borderId="1" xfId="0" applyNumberFormat="1" applyFont="1" applyFill="1" applyBorder="1"/>
    <xf numFmtId="0" fontId="37" fillId="0" borderId="1" xfId="0" applyFont="1" applyFill="1" applyBorder="1"/>
    <xf numFmtId="164" fontId="37" fillId="0" borderId="1" xfId="1" applyNumberFormat="1" applyFont="1" applyFill="1" applyBorder="1"/>
    <xf numFmtId="1" fontId="23" fillId="0" borderId="1" xfId="0" applyNumberFormat="1" applyFont="1" applyFill="1" applyBorder="1" applyAlignment="1"/>
    <xf numFmtId="164" fontId="23" fillId="0" borderId="1" xfId="1" quotePrefix="1" applyNumberFormat="1" applyFont="1" applyFill="1" applyBorder="1" applyAlignment="1">
      <alignment wrapText="1"/>
    </xf>
    <xf numFmtId="0" fontId="23" fillId="2" borderId="1" xfId="0" applyFont="1" applyFill="1" applyBorder="1"/>
    <xf numFmtId="0" fontId="24" fillId="2" borderId="1" xfId="0" applyFont="1" applyFill="1" applyBorder="1"/>
    <xf numFmtId="164" fontId="24" fillId="2" borderId="1" xfId="0" applyNumberFormat="1" applyFont="1" applyFill="1" applyBorder="1" applyAlignment="1"/>
    <xf numFmtId="1" fontId="8" fillId="2" borderId="2" xfId="4" applyNumberFormat="1" applyFont="1" applyFill="1" applyBorder="1" applyAlignment="1">
      <alignment horizontal="center" wrapText="1"/>
    </xf>
    <xf numFmtId="164" fontId="23" fillId="2" borderId="1" xfId="1" applyNumberFormat="1" applyFont="1" applyFill="1" applyBorder="1" applyAlignment="1">
      <alignment horizontal="center" wrapText="1"/>
    </xf>
    <xf numFmtId="0" fontId="40" fillId="0" borderId="0" xfId="0" applyFont="1" applyFill="1"/>
    <xf numFmtId="0" fontId="2" fillId="0" borderId="1" xfId="0" quotePrefix="1" applyFont="1" applyFill="1" applyBorder="1" applyAlignment="1">
      <alignment vertical="center" wrapText="1"/>
    </xf>
    <xf numFmtId="0" fontId="10" fillId="0" borderId="0" xfId="3" quotePrefix="1" applyFill="1" applyAlignment="1" applyProtection="1"/>
    <xf numFmtId="0" fontId="0" fillId="0" borderId="0" xfId="0" applyFill="1" applyAlignment="1">
      <alignment vertical="center"/>
    </xf>
    <xf numFmtId="171" fontId="13" fillId="0" borderId="1" xfId="1" applyNumberFormat="1" applyFont="1" applyFill="1" applyBorder="1"/>
    <xf numFmtId="164" fontId="26" fillId="0" borderId="0" xfId="1" applyNumberFormat="1" applyFont="1" applyAlignment="1">
      <alignment horizontal="right"/>
    </xf>
    <xf numFmtId="0" fontId="13" fillId="2" borderId="1" xfId="0" applyFont="1" applyFill="1" applyBorder="1" applyAlignment="1">
      <alignment wrapText="1"/>
    </xf>
    <xf numFmtId="0" fontId="13" fillId="0" borderId="2" xfId="0" quotePrefix="1" applyFont="1" applyFill="1" applyBorder="1" applyAlignment="1">
      <alignment vertical="center" wrapText="1"/>
    </xf>
    <xf numFmtId="9" fontId="13" fillId="0" borderId="1" xfId="2" applyFont="1" applyFill="1" applyBorder="1" applyAlignment="1">
      <alignment vertical="center"/>
    </xf>
    <xf numFmtId="164" fontId="63" fillId="0" borderId="0" xfId="1" applyNumberFormat="1" applyFont="1" applyFill="1" applyAlignment="1">
      <alignment wrapText="1"/>
    </xf>
    <xf numFmtId="1" fontId="0" fillId="0" borderId="8" xfId="0" applyNumberFormat="1" applyBorder="1"/>
    <xf numFmtId="9" fontId="0" fillId="7" borderId="0" xfId="0" applyNumberFormat="1" applyFill="1"/>
    <xf numFmtId="0" fontId="0" fillId="7" borderId="0" xfId="0" applyFill="1"/>
    <xf numFmtId="43" fontId="1" fillId="0" borderId="0" xfId="0" applyNumberFormat="1" applyFont="1"/>
    <xf numFmtId="9" fontId="0" fillId="0" borderId="0" xfId="0" applyNumberFormat="1" applyFill="1"/>
    <xf numFmtId="164" fontId="0" fillId="7" borderId="0" xfId="1" applyNumberFormat="1" applyFont="1" applyFill="1"/>
    <xf numFmtId="0" fontId="0" fillId="0" borderId="0" xfId="0" quotePrefix="1"/>
    <xf numFmtId="0" fontId="23" fillId="0" borderId="0" xfId="0" applyNumberFormat="1" applyFont="1" applyFill="1" applyBorder="1" applyAlignment="1">
      <alignment horizontal="left" vertical="center"/>
    </xf>
    <xf numFmtId="3" fontId="23" fillId="0" borderId="0" xfId="0" applyNumberFormat="1" applyFont="1" applyFill="1" applyBorder="1" applyAlignment="1">
      <alignment horizontal="right" vertical="center"/>
    </xf>
    <xf numFmtId="0" fontId="23" fillId="0" borderId="0" xfId="0" applyFont="1" applyFill="1" applyBorder="1" applyAlignment="1">
      <alignment horizontal="left" vertical="center"/>
    </xf>
    <xf numFmtId="0" fontId="8" fillId="0" borderId="0" xfId="0" quotePrefix="1" applyFont="1" applyFill="1" applyBorder="1" applyAlignment="1">
      <alignment vertical="center" wrapText="1"/>
    </xf>
    <xf numFmtId="0" fontId="8" fillId="0" borderId="0" xfId="0" applyFont="1" applyFill="1" applyBorder="1" applyAlignment="1">
      <alignment horizontal="center"/>
    </xf>
    <xf numFmtId="3" fontId="0" fillId="6" borderId="0" xfId="0" applyNumberFormat="1" applyFill="1"/>
    <xf numFmtId="9" fontId="1" fillId="0" borderId="0" xfId="2" applyFont="1"/>
    <xf numFmtId="0" fontId="0" fillId="0" borderId="4" xfId="0" applyBorder="1"/>
    <xf numFmtId="0" fontId="0" fillId="0" borderId="5" xfId="0" applyBorder="1"/>
    <xf numFmtId="0" fontId="0" fillId="0" borderId="25" xfId="0" applyBorder="1"/>
    <xf numFmtId="0" fontId="10" fillId="0" borderId="6" xfId="3" applyBorder="1" applyAlignment="1" applyProtection="1"/>
    <xf numFmtId="0" fontId="0" fillId="0" borderId="7" xfId="0" applyBorder="1"/>
    <xf numFmtId="0" fontId="0" fillId="0" borderId="6" xfId="0" applyBorder="1"/>
    <xf numFmtId="0" fontId="10" fillId="0" borderId="26" xfId="3" applyBorder="1" applyAlignment="1" applyProtection="1"/>
    <xf numFmtId="0" fontId="0" fillId="0" borderId="27" xfId="0" applyBorder="1"/>
    <xf numFmtId="171" fontId="0" fillId="0" borderId="0" xfId="1" applyNumberFormat="1" applyFont="1"/>
    <xf numFmtId="164" fontId="13" fillId="0" borderId="0" xfId="1" applyNumberFormat="1" applyFont="1" applyAlignment="1">
      <alignment horizontal="center" vertical="center"/>
    </xf>
    <xf numFmtId="166" fontId="13" fillId="0" borderId="3" xfId="4" applyNumberFormat="1" applyFont="1" applyBorder="1" applyAlignment="1"/>
    <xf numFmtId="1" fontId="13" fillId="0" borderId="3" xfId="4" applyNumberFormat="1" applyFont="1" applyBorder="1" applyAlignment="1"/>
    <xf numFmtId="167" fontId="23" fillId="0" borderId="0" xfId="4" applyNumberFormat="1" applyFont="1" applyBorder="1" applyAlignment="1"/>
    <xf numFmtId="1" fontId="24" fillId="0" borderId="8" xfId="4" applyNumberFormat="1" applyFont="1" applyBorder="1" applyAlignment="1">
      <alignment horizontal="center"/>
    </xf>
    <xf numFmtId="1" fontId="24" fillId="4" borderId="8" xfId="4" applyNumberFormat="1" applyFont="1" applyFill="1" applyBorder="1" applyAlignment="1">
      <alignment horizontal="left" textRotation="75" wrapText="1"/>
    </xf>
    <xf numFmtId="1" fontId="24" fillId="0" borderId="1" xfId="4" applyNumberFormat="1" applyFont="1" applyBorder="1" applyAlignment="1"/>
    <xf numFmtId="1" fontId="37" fillId="0" borderId="0" xfId="4" applyNumberFormat="1" applyFont="1" applyBorder="1" applyAlignment="1">
      <alignment horizontal="center" vertical="center"/>
    </xf>
    <xf numFmtId="1" fontId="61" fillId="0" borderId="0" xfId="4" applyNumberFormat="1" applyFont="1" applyBorder="1" applyAlignment="1">
      <alignment horizontal="center" vertical="center"/>
    </xf>
    <xf numFmtId="0" fontId="4" fillId="0" borderId="0" xfId="0" applyFont="1" applyBorder="1" applyAlignment="1">
      <alignment vertical="center"/>
    </xf>
    <xf numFmtId="167" fontId="23" fillId="4" borderId="8" xfId="4" applyNumberFormat="1" applyFont="1" applyFill="1" applyBorder="1" applyAlignment="1">
      <alignment horizontal="left"/>
    </xf>
    <xf numFmtId="1" fontId="23" fillId="4" borderId="8" xfId="4" applyNumberFormat="1" applyFont="1" applyFill="1" applyBorder="1" applyAlignment="1">
      <alignment horizontal="left"/>
    </xf>
    <xf numFmtId="167" fontId="24" fillId="2" borderId="9" xfId="4" applyNumberFormat="1" applyFont="1" applyFill="1" applyBorder="1" applyAlignment="1">
      <alignment horizontal="center" wrapText="1"/>
    </xf>
    <xf numFmtId="167" fontId="13" fillId="2" borderId="11" xfId="4" applyNumberFormat="1" applyFont="1" applyFill="1" applyBorder="1" applyAlignment="1">
      <alignment vertical="center"/>
    </xf>
    <xf numFmtId="167" fontId="13" fillId="2" borderId="9" xfId="4" applyNumberFormat="1" applyFont="1" applyFill="1" applyBorder="1" applyAlignment="1">
      <alignment vertical="center"/>
    </xf>
    <xf numFmtId="167" fontId="4" fillId="2" borderId="11" xfId="4" applyNumberFormat="1" applyFont="1" applyFill="1" applyBorder="1" applyAlignment="1">
      <alignment vertical="center"/>
    </xf>
    <xf numFmtId="167" fontId="13" fillId="2" borderId="11" xfId="4" applyNumberFormat="1" applyFont="1" applyFill="1" applyBorder="1" applyAlignment="1">
      <alignment vertical="center" wrapText="1"/>
    </xf>
    <xf numFmtId="166" fontId="37" fillId="11" borderId="11" xfId="4" applyNumberFormat="1" applyFont="1" applyFill="1" applyBorder="1" applyAlignment="1">
      <alignment vertical="center"/>
    </xf>
    <xf numFmtId="167" fontId="13" fillId="0" borderId="11" xfId="4" applyNumberFormat="1" applyFont="1" applyFill="1" applyBorder="1" applyAlignment="1">
      <alignment vertical="center"/>
    </xf>
    <xf numFmtId="166" fontId="13" fillId="0" borderId="11" xfId="4" applyNumberFormat="1" applyFont="1" applyBorder="1" applyAlignment="1">
      <alignment vertical="center"/>
    </xf>
    <xf numFmtId="167" fontId="13" fillId="0" borderId="11" xfId="4" applyNumberFormat="1" applyFont="1" applyBorder="1" applyAlignment="1">
      <alignment vertical="center"/>
    </xf>
    <xf numFmtId="166" fontId="13" fillId="0" borderId="11" xfId="4" applyNumberFormat="1" applyFont="1" applyBorder="1" applyAlignment="1">
      <alignment horizontal="right" vertical="center"/>
    </xf>
    <xf numFmtId="166" fontId="13" fillId="0" borderId="11" xfId="4" applyNumberFormat="1" applyFont="1" applyFill="1" applyBorder="1" applyAlignment="1">
      <alignment vertical="center"/>
    </xf>
    <xf numFmtId="167" fontId="24" fillId="2" borderId="11" xfId="4" applyNumberFormat="1" applyFont="1" applyFill="1" applyBorder="1" applyAlignment="1">
      <alignment horizontal="center" wrapText="1"/>
    </xf>
    <xf numFmtId="166" fontId="13" fillId="0" borderId="11" xfId="4" applyNumberFormat="1" applyFont="1" applyFill="1" applyBorder="1" applyAlignment="1">
      <alignment horizontal="right" vertical="center"/>
    </xf>
    <xf numFmtId="167" fontId="23" fillId="0" borderId="11" xfId="4" applyNumberFormat="1" applyFont="1" applyBorder="1" applyAlignment="1"/>
    <xf numFmtId="167" fontId="37" fillId="2" borderId="11" xfId="4" quotePrefix="1" applyNumberFormat="1" applyFont="1" applyFill="1" applyBorder="1" applyAlignment="1">
      <alignment horizontal="center" vertical="center"/>
    </xf>
    <xf numFmtId="164" fontId="1" fillId="11" borderId="0" xfId="0" applyNumberFormat="1" applyFont="1" applyFill="1"/>
    <xf numFmtId="49" fontId="23" fillId="0" borderId="1" xfId="0" applyNumberFormat="1" applyFont="1" applyBorder="1" applyAlignment="1">
      <alignment horizontal="right" wrapText="1"/>
    </xf>
    <xf numFmtId="0" fontId="40" fillId="0" borderId="0" xfId="0" applyFont="1" applyAlignment="1">
      <alignment horizontal="right"/>
    </xf>
    <xf numFmtId="0" fontId="3" fillId="0" borderId="1" xfId="0" applyFont="1" applyFill="1" applyBorder="1" applyAlignment="1">
      <alignment horizontal="left" vertical="center" wrapText="1"/>
    </xf>
    <xf numFmtId="0" fontId="3" fillId="0" borderId="1" xfId="0" quotePrefix="1" applyFont="1" applyBorder="1" applyAlignment="1">
      <alignment horizontal="left" vertical="center" wrapText="1"/>
    </xf>
    <xf numFmtId="0" fontId="13" fillId="2" borderId="1" xfId="0" applyFont="1" applyFill="1" applyBorder="1" applyAlignment="1"/>
    <xf numFmtId="0" fontId="23" fillId="0" borderId="2" xfId="0" quotePrefix="1" applyFont="1" applyFill="1" applyBorder="1" applyAlignment="1">
      <alignment vertical="center"/>
    </xf>
    <xf numFmtId="1" fontId="13" fillId="0" borderId="0" xfId="4" applyNumberFormat="1" applyFont="1" applyAlignment="1">
      <alignment wrapText="1"/>
    </xf>
    <xf numFmtId="1" fontId="23" fillId="0" borderId="0" xfId="4" applyNumberFormat="1" applyFont="1" applyFill="1" applyAlignment="1"/>
    <xf numFmtId="164" fontId="13" fillId="0" borderId="0" xfId="1" applyNumberFormat="1" applyFont="1" applyFill="1" applyAlignment="1">
      <alignment horizontal="left" vertical="center"/>
    </xf>
    <xf numFmtId="2" fontId="13" fillId="0" borderId="1" xfId="0" quotePrefix="1" applyNumberFormat="1" applyFont="1" applyFill="1" applyBorder="1" applyAlignment="1">
      <alignment horizontal="right" wrapText="1"/>
    </xf>
    <xf numFmtId="170" fontId="32" fillId="0" borderId="9" xfId="0" applyNumberFormat="1" applyFont="1" applyFill="1" applyBorder="1"/>
    <xf numFmtId="166" fontId="13" fillId="11" borderId="1" xfId="4" applyNumberFormat="1" applyFont="1" applyFill="1" applyBorder="1" applyAlignment="1"/>
    <xf numFmtId="167" fontId="13" fillId="0" borderId="10" xfId="4" applyNumberFormat="1" applyFont="1" applyFill="1" applyBorder="1" applyAlignment="1">
      <alignment horizontal="left"/>
    </xf>
    <xf numFmtId="1" fontId="23" fillId="0" borderId="0" xfId="4" applyNumberFormat="1" applyFont="1" applyFill="1" applyBorder="1" applyAlignment="1">
      <alignment horizontal="center"/>
    </xf>
    <xf numFmtId="167" fontId="13" fillId="0" borderId="9" xfId="4" applyNumberFormat="1" applyFont="1" applyFill="1" applyBorder="1" applyAlignment="1">
      <alignment vertical="center"/>
    </xf>
    <xf numFmtId="166" fontId="37" fillId="11" borderId="1" xfId="4" applyNumberFormat="1" applyFont="1" applyFill="1" applyBorder="1" applyAlignment="1">
      <alignment vertical="center"/>
    </xf>
    <xf numFmtId="1" fontId="23" fillId="11" borderId="2" xfId="4" applyNumberFormat="1" applyFont="1" applyFill="1" applyBorder="1" applyAlignment="1"/>
    <xf numFmtId="1" fontId="23" fillId="11" borderId="10" xfId="4" applyNumberFormat="1" applyFont="1" applyFill="1" applyBorder="1" applyAlignment="1">
      <alignment wrapText="1"/>
    </xf>
    <xf numFmtId="1" fontId="23" fillId="11" borderId="10" xfId="4" applyNumberFormat="1" applyFont="1" applyFill="1" applyBorder="1" applyAlignment="1"/>
    <xf numFmtId="167" fontId="24" fillId="11" borderId="10" xfId="4" applyNumberFormat="1" applyFont="1" applyFill="1" applyBorder="1" applyAlignment="1">
      <alignment horizontal="right"/>
    </xf>
    <xf numFmtId="167" fontId="13" fillId="11" borderId="10" xfId="4" applyNumberFormat="1" applyFont="1" applyFill="1" applyBorder="1" applyAlignment="1">
      <alignment horizontal="left"/>
    </xf>
    <xf numFmtId="1" fontId="37" fillId="11" borderId="10" xfId="4" applyNumberFormat="1" applyFont="1" applyFill="1" applyBorder="1" applyAlignment="1">
      <alignment horizontal="center"/>
    </xf>
    <xf numFmtId="1" fontId="61" fillId="11" borderId="10" xfId="4" applyNumberFormat="1" applyFont="1" applyFill="1" applyBorder="1" applyAlignment="1">
      <alignment horizontal="center"/>
    </xf>
    <xf numFmtId="167" fontId="13" fillId="11" borderId="3" xfId="4" applyNumberFormat="1" applyFont="1" applyFill="1" applyBorder="1" applyAlignment="1">
      <alignment horizontal="left"/>
    </xf>
    <xf numFmtId="166" fontId="13" fillId="0" borderId="25" xfId="4" applyNumberFormat="1" applyFont="1" applyBorder="1" applyAlignment="1"/>
    <xf numFmtId="166" fontId="13" fillId="0" borderId="12" xfId="4" applyNumberFormat="1" applyFont="1" applyBorder="1" applyAlignment="1"/>
    <xf numFmtId="166" fontId="13" fillId="0" borderId="12" xfId="4" applyNumberFormat="1" applyFont="1" applyFill="1" applyBorder="1" applyAlignment="1"/>
    <xf numFmtId="1" fontId="24" fillId="11" borderId="2" xfId="4" applyNumberFormat="1" applyFont="1" applyFill="1" applyBorder="1" applyAlignment="1">
      <alignment horizontal="center"/>
    </xf>
    <xf numFmtId="1" fontId="24" fillId="11" borderId="10" xfId="4" applyNumberFormat="1" applyFont="1" applyFill="1" applyBorder="1" applyAlignment="1">
      <alignment wrapText="1"/>
    </xf>
    <xf numFmtId="1" fontId="24" fillId="11" borderId="10" xfId="4" applyNumberFormat="1" applyFont="1" applyFill="1" applyBorder="1" applyAlignment="1"/>
    <xf numFmtId="49" fontId="24" fillId="11" borderId="10" xfId="4" applyNumberFormat="1" applyFont="1" applyFill="1" applyBorder="1" applyAlignment="1">
      <alignment horizontal="right" indent="1"/>
    </xf>
    <xf numFmtId="1" fontId="37" fillId="0" borderId="10" xfId="4" applyNumberFormat="1" applyFont="1" applyBorder="1" applyAlignment="1"/>
    <xf numFmtId="167" fontId="24" fillId="4" borderId="1" xfId="4" applyNumberFormat="1" applyFont="1" applyFill="1" applyBorder="1" applyAlignment="1"/>
    <xf numFmtId="164" fontId="13" fillId="0" borderId="0" xfId="1" applyNumberFormat="1" applyFont="1" applyBorder="1" applyAlignment="1"/>
    <xf numFmtId="164" fontId="13" fillId="0" borderId="0" xfId="1" applyNumberFormat="1" applyFont="1" applyFill="1" applyBorder="1" applyAlignment="1"/>
    <xf numFmtId="0" fontId="21" fillId="5" borderId="0" xfId="0" applyFont="1" applyFill="1" applyAlignment="1">
      <alignment horizontal="right"/>
    </xf>
    <xf numFmtId="0" fontId="23" fillId="5" borderId="0" xfId="0" applyFont="1" applyFill="1" applyAlignment="1">
      <alignment horizontal="right"/>
    </xf>
    <xf numFmtId="0" fontId="13" fillId="5" borderId="0" xfId="0" applyFont="1" applyFill="1" applyAlignment="1">
      <alignment wrapText="1"/>
    </xf>
    <xf numFmtId="1" fontId="13" fillId="0" borderId="3" xfId="4" applyNumberFormat="1" applyFont="1" applyFill="1" applyBorder="1" applyAlignment="1">
      <alignment horizontal="center" textRotation="75" wrapText="1"/>
    </xf>
    <xf numFmtId="1" fontId="13" fillId="0" borderId="1" xfId="4" applyNumberFormat="1" applyFont="1" applyFill="1" applyBorder="1" applyAlignment="1">
      <alignment horizontal="center" textRotation="75" wrapText="1"/>
    </xf>
    <xf numFmtId="166" fontId="37" fillId="0" borderId="0" xfId="1" applyNumberFormat="1" applyFont="1" applyBorder="1"/>
    <xf numFmtId="166" fontId="13" fillId="0" borderId="0" xfId="0" applyNumberFormat="1" applyFont="1" applyBorder="1" applyAlignment="1">
      <alignment horizontal="right" wrapText="1"/>
    </xf>
    <xf numFmtId="1" fontId="13" fillId="0" borderId="0" xfId="4" applyNumberFormat="1" applyFont="1" applyAlignment="1">
      <alignment horizontal="right"/>
    </xf>
    <xf numFmtId="49" fontId="13" fillId="0" borderId="0" xfId="4" applyNumberFormat="1" applyFont="1" applyBorder="1" applyAlignment="1">
      <alignment horizontal="right" wrapText="1"/>
    </xf>
    <xf numFmtId="166" fontId="9" fillId="0" borderId="0" xfId="4" applyNumberFormat="1" applyFont="1" applyFill="1" applyBorder="1" applyAlignment="1"/>
    <xf numFmtId="9" fontId="23" fillId="9" borderId="1" xfId="2" applyFont="1" applyFill="1" applyBorder="1" applyAlignment="1">
      <alignment horizontal="right" vertical="center" indent="1"/>
    </xf>
    <xf numFmtId="49" fontId="13" fillId="0" borderId="0" xfId="4" applyNumberFormat="1" applyFont="1" applyBorder="1" applyAlignment="1">
      <alignment horizontal="right"/>
    </xf>
    <xf numFmtId="9" fontId="13" fillId="13" borderId="1" xfId="2" applyFont="1" applyFill="1" applyBorder="1" applyAlignment="1"/>
    <xf numFmtId="0" fontId="47" fillId="0" borderId="0" xfId="0" applyFont="1"/>
    <xf numFmtId="0" fontId="13" fillId="7" borderId="0" xfId="0" applyFont="1" applyFill="1"/>
    <xf numFmtId="0" fontId="13" fillId="11" borderId="0" xfId="0" applyFont="1" applyFill="1"/>
    <xf numFmtId="164" fontId="37" fillId="11" borderId="0" xfId="1" applyNumberFormat="1" applyFont="1" applyFill="1"/>
    <xf numFmtId="176" fontId="13" fillId="0" borderId="0" xfId="0" applyNumberFormat="1" applyFont="1"/>
    <xf numFmtId="10" fontId="13" fillId="0" borderId="0" xfId="2" applyNumberFormat="1" applyFont="1"/>
    <xf numFmtId="0" fontId="0" fillId="2" borderId="0" xfId="0" applyFill="1" applyBorder="1"/>
    <xf numFmtId="1" fontId="28" fillId="2" borderId="12" xfId="4" applyNumberFormat="1" applyFont="1" applyFill="1" applyBorder="1" applyAlignment="1">
      <alignment horizontal="left" vertical="center"/>
    </xf>
    <xf numFmtId="0" fontId="23" fillId="0" borderId="1" xfId="0" quotePrefix="1" applyFont="1" applyFill="1" applyBorder="1" applyAlignment="1">
      <alignment horizontal="left" vertical="center" wrapText="1"/>
    </xf>
    <xf numFmtId="0" fontId="13" fillId="0" borderId="2" xfId="0" applyFont="1" applyBorder="1" applyAlignment="1">
      <alignment wrapText="1"/>
    </xf>
    <xf numFmtId="0" fontId="13" fillId="7" borderId="1" xfId="2" applyNumberFormat="1" applyFont="1" applyFill="1" applyBorder="1" applyAlignment="1"/>
    <xf numFmtId="166" fontId="13" fillId="0" borderId="1" xfId="4" applyNumberFormat="1" applyFont="1" applyFill="1" applyBorder="1" applyAlignment="1">
      <alignment wrapText="1"/>
    </xf>
    <xf numFmtId="0" fontId="23" fillId="0" borderId="1" xfId="4" quotePrefix="1" applyFont="1" applyFill="1" applyBorder="1" applyAlignment="1">
      <alignment vertical="center" wrapText="1"/>
    </xf>
    <xf numFmtId="0" fontId="13" fillId="0" borderId="1" xfId="0" quotePrefix="1" applyFont="1" applyFill="1" applyBorder="1" applyAlignment="1">
      <alignment horizontal="left" vertical="center"/>
    </xf>
    <xf numFmtId="0" fontId="13" fillId="0" borderId="1" xfId="0" applyFont="1" applyFill="1" applyBorder="1" applyAlignment="1">
      <alignment vertical="center" wrapText="1"/>
    </xf>
    <xf numFmtId="0" fontId="23" fillId="12" borderId="1" xfId="0" applyNumberFormat="1" applyFont="1" applyFill="1" applyBorder="1" applyAlignment="1">
      <alignment horizontal="right" vertical="center"/>
    </xf>
    <xf numFmtId="0" fontId="13" fillId="0" borderId="1" xfId="0" applyFont="1" applyFill="1" applyBorder="1" applyAlignment="1">
      <alignment horizontal="left" vertical="center" wrapText="1"/>
    </xf>
    <xf numFmtId="1" fontId="8" fillId="2" borderId="1" xfId="1" applyNumberFormat="1" applyFont="1" applyFill="1" applyBorder="1"/>
    <xf numFmtId="1" fontId="37" fillId="0" borderId="1" xfId="0" applyNumberFormat="1" applyFont="1" applyBorder="1"/>
    <xf numFmtId="1" fontId="13" fillId="2" borderId="1" xfId="0" applyNumberFormat="1" applyFont="1" applyFill="1" applyBorder="1"/>
    <xf numFmtId="49" fontId="24" fillId="0" borderId="0" xfId="4" applyNumberFormat="1" applyFont="1" applyFill="1" applyBorder="1" applyAlignment="1">
      <alignment horizontal="right" wrapText="1"/>
    </xf>
    <xf numFmtId="49" fontId="13" fillId="0" borderId="0" xfId="4" applyNumberFormat="1" applyFont="1" applyBorder="1" applyAlignment="1">
      <alignment horizontal="right" wrapText="1"/>
    </xf>
    <xf numFmtId="166" fontId="13" fillId="0" borderId="9" xfId="4" applyNumberFormat="1" applyFont="1" applyFill="1" applyBorder="1" applyAlignment="1">
      <alignment horizontal="right" vertical="center"/>
    </xf>
    <xf numFmtId="166" fontId="13" fillId="0" borderId="0" xfId="4" applyNumberFormat="1" applyFont="1" applyFill="1" applyBorder="1" applyAlignment="1">
      <alignment horizontal="right" vertical="center"/>
    </xf>
    <xf numFmtId="174" fontId="13" fillId="0" borderId="0" xfId="0" applyNumberFormat="1" applyFont="1" applyFill="1"/>
    <xf numFmtId="0" fontId="40" fillId="0" borderId="0" xfId="0" applyFont="1" applyBorder="1"/>
    <xf numFmtId="1" fontId="13" fillId="0" borderId="0" xfId="0" applyNumberFormat="1" applyFont="1" applyBorder="1"/>
    <xf numFmtId="166" fontId="13" fillId="0" borderId="0" xfId="1" applyNumberFormat="1" applyFont="1" applyFill="1"/>
    <xf numFmtId="3" fontId="87" fillId="0" borderId="0" xfId="0" applyNumberFormat="1" applyFont="1" applyBorder="1" applyAlignment="1">
      <alignment horizontal="right" vertical="center" wrapText="1"/>
    </xf>
    <xf numFmtId="0" fontId="87" fillId="0" borderId="0" xfId="0" applyFont="1" applyBorder="1" applyAlignment="1">
      <alignment horizontal="right" vertical="center" wrapText="1"/>
    </xf>
    <xf numFmtId="0" fontId="86" fillId="0" borderId="0" xfId="0" applyFont="1"/>
    <xf numFmtId="164" fontId="32" fillId="0" borderId="1" xfId="1" applyNumberFormat="1" applyFont="1" applyBorder="1"/>
    <xf numFmtId="0" fontId="10" fillId="0" borderId="0" xfId="3" quotePrefix="1" applyAlignment="1" applyProtection="1"/>
    <xf numFmtId="0" fontId="10" fillId="0" borderId="0" xfId="3" applyBorder="1" applyAlignment="1" applyProtection="1"/>
    <xf numFmtId="182" fontId="13" fillId="7" borderId="1" xfId="0" applyNumberFormat="1" applyFont="1" applyFill="1" applyBorder="1"/>
    <xf numFmtId="0" fontId="14" fillId="0" borderId="0" xfId="0" applyFont="1" applyFill="1" applyBorder="1" applyAlignment="1">
      <alignment vertical="center"/>
    </xf>
    <xf numFmtId="166" fontId="86" fillId="0" borderId="9" xfId="0" applyNumberFormat="1" applyFont="1" applyBorder="1"/>
    <xf numFmtId="0" fontId="13" fillId="0" borderId="11" xfId="0" applyFont="1" applyBorder="1"/>
    <xf numFmtId="164" fontId="37" fillId="0" borderId="0" xfId="0" applyNumberFormat="1" applyFont="1" applyFill="1" applyBorder="1"/>
    <xf numFmtId="170" fontId="13" fillId="0" borderId="1" xfId="0" applyNumberFormat="1" applyFont="1" applyFill="1" applyBorder="1"/>
    <xf numFmtId="0" fontId="23" fillId="0" borderId="1" xfId="0" quotePrefix="1" applyFont="1" applyBorder="1" applyAlignment="1">
      <alignment horizontal="left" wrapText="1"/>
    </xf>
    <xf numFmtId="164" fontId="10" fillId="5" borderId="0" xfId="3" applyNumberFormat="1" applyFill="1" applyAlignment="1" applyProtection="1">
      <alignment horizontal="right" vertical="center"/>
    </xf>
    <xf numFmtId="0" fontId="10" fillId="5" borderId="0" xfId="3" applyFill="1" applyAlignment="1" applyProtection="1">
      <alignment horizontal="left" vertical="center"/>
    </xf>
    <xf numFmtId="0" fontId="12" fillId="0" borderId="0" xfId="3" quotePrefix="1" applyFont="1" applyFill="1" applyAlignment="1" applyProtection="1"/>
    <xf numFmtId="164" fontId="13" fillId="0" borderId="1" xfId="1" applyNumberFormat="1" applyFont="1" applyFill="1" applyBorder="1" applyAlignment="1">
      <alignment horizontal="right" vertical="center" wrapText="1"/>
    </xf>
    <xf numFmtId="0" fontId="13" fillId="0" borderId="0" xfId="0" applyFont="1" applyAlignment="1">
      <alignment horizontal="left" vertical="center"/>
    </xf>
    <xf numFmtId="0" fontId="22" fillId="0" borderId="0" xfId="0" applyFont="1" applyFill="1"/>
    <xf numFmtId="0" fontId="28" fillId="0" borderId="0" xfId="0" applyFont="1" applyFill="1"/>
    <xf numFmtId="49" fontId="37" fillId="0" borderId="0" xfId="4" applyNumberFormat="1" applyFont="1" applyBorder="1" applyAlignment="1">
      <alignment horizontal="right"/>
    </xf>
    <xf numFmtId="0" fontId="86" fillId="0" borderId="0" xfId="0" quotePrefix="1" applyFont="1"/>
    <xf numFmtId="164" fontId="23" fillId="9" borderId="1" xfId="1" applyNumberFormat="1" applyFont="1" applyFill="1" applyBorder="1" applyAlignment="1">
      <alignment horizontal="right" vertical="center" indent="1"/>
    </xf>
    <xf numFmtId="0" fontId="13" fillId="0" borderId="0" xfId="0" applyFont="1" applyAlignment="1">
      <alignment horizontal="left" wrapText="1"/>
    </xf>
    <xf numFmtId="49" fontId="23" fillId="0" borderId="1" xfId="0" quotePrefix="1" applyNumberFormat="1" applyFont="1" applyFill="1" applyBorder="1" applyAlignment="1">
      <alignment wrapText="1"/>
    </xf>
    <xf numFmtId="164" fontId="13" fillId="0" borderId="1" xfId="1" quotePrefix="1" applyNumberFormat="1" applyFont="1" applyFill="1" applyBorder="1" applyAlignment="1">
      <alignment horizontal="right" vertical="center" wrapText="1"/>
    </xf>
    <xf numFmtId="0" fontId="13" fillId="0" borderId="1" xfId="0" quotePrefix="1" applyFont="1" applyFill="1" applyBorder="1" applyAlignment="1">
      <alignment vertical="center" wrapText="1"/>
    </xf>
    <xf numFmtId="164" fontId="13" fillId="0" borderId="1" xfId="1" quotePrefix="1" applyNumberFormat="1" applyFont="1" applyBorder="1" applyAlignment="1">
      <alignment horizontal="right" vertical="center" wrapText="1"/>
    </xf>
    <xf numFmtId="0" fontId="13" fillId="0" borderId="1" xfId="0" applyFont="1" applyBorder="1" applyAlignment="1">
      <alignment vertical="center" wrapText="1"/>
    </xf>
    <xf numFmtId="0" fontId="13" fillId="0" borderId="1" xfId="0" applyFont="1" applyBorder="1" applyAlignment="1">
      <alignment horizontal="right" vertical="center" wrapText="1"/>
    </xf>
    <xf numFmtId="0" fontId="13" fillId="2" borderId="1" xfId="0" applyFont="1" applyFill="1" applyBorder="1" applyAlignment="1">
      <alignment horizontal="right" vertical="center" wrapText="1"/>
    </xf>
    <xf numFmtId="164" fontId="13" fillId="2" borderId="1" xfId="1" applyNumberFormat="1" applyFont="1" applyFill="1" applyBorder="1" applyAlignment="1">
      <alignment horizontal="right" vertical="center" wrapText="1"/>
    </xf>
    <xf numFmtId="0" fontId="13" fillId="2" borderId="1" xfId="0" applyFont="1" applyFill="1" applyBorder="1" applyAlignment="1">
      <alignment vertical="center" wrapText="1"/>
    </xf>
    <xf numFmtId="49" fontId="13" fillId="0" borderId="0" xfId="4" applyNumberFormat="1" applyFont="1" applyFill="1" applyBorder="1" applyAlignment="1">
      <alignment horizontal="right" wrapText="1" indent="1"/>
    </xf>
    <xf numFmtId="1" fontId="13" fillId="0" borderId="0" xfId="4" applyNumberFormat="1" applyFont="1" applyFill="1" applyBorder="1" applyAlignment="1">
      <alignment horizontal="right"/>
    </xf>
    <xf numFmtId="1" fontId="23" fillId="0" borderId="1" xfId="0" applyNumberFormat="1" applyFont="1" applyBorder="1"/>
    <xf numFmtId="164" fontId="24" fillId="0" borderId="1" xfId="1" applyNumberFormat="1" applyFont="1" applyBorder="1"/>
    <xf numFmtId="0" fontId="23" fillId="0" borderId="0" xfId="0" applyFont="1" applyFill="1" applyBorder="1" applyAlignment="1">
      <alignment vertical="center"/>
    </xf>
    <xf numFmtId="0" fontId="24" fillId="0" borderId="0" xfId="1" applyNumberFormat="1" applyFont="1" applyBorder="1"/>
    <xf numFmtId="164" fontId="23" fillId="0" borderId="12" xfId="1" applyNumberFormat="1" applyFont="1" applyFill="1" applyBorder="1"/>
    <xf numFmtId="0" fontId="23" fillId="0" borderId="12" xfId="0" applyFont="1" applyBorder="1"/>
    <xf numFmtId="164" fontId="37" fillId="0" borderId="0" xfId="1" applyNumberFormat="1" applyFont="1" applyFill="1"/>
    <xf numFmtId="0" fontId="13" fillId="0" borderId="18" xfId="0" applyFont="1" applyBorder="1"/>
    <xf numFmtId="10" fontId="23" fillId="0" borderId="19" xfId="2" applyNumberFormat="1" applyFont="1" applyBorder="1"/>
    <xf numFmtId="171" fontId="23" fillId="0" borderId="19" xfId="0" applyNumberFormat="1" applyFont="1" applyBorder="1" applyAlignment="1">
      <alignment horizontal="right"/>
    </xf>
    <xf numFmtId="0" fontId="13" fillId="0" borderId="19" xfId="0" applyFont="1" applyBorder="1"/>
    <xf numFmtId="0" fontId="13" fillId="0" borderId="17" xfId="0" applyFont="1" applyBorder="1"/>
    <xf numFmtId="164" fontId="24" fillId="0" borderId="17" xfId="0" applyNumberFormat="1" applyFont="1" applyFill="1" applyBorder="1" applyAlignment="1">
      <alignment horizontal="center"/>
    </xf>
    <xf numFmtId="0" fontId="13" fillId="0" borderId="17" xfId="0" applyFont="1" applyFill="1" applyBorder="1"/>
    <xf numFmtId="174" fontId="23" fillId="11" borderId="13" xfId="2" applyNumberFormat="1" applyFont="1" applyFill="1" applyBorder="1"/>
    <xf numFmtId="171" fontId="23" fillId="11" borderId="13" xfId="0" applyNumberFormat="1" applyFont="1" applyFill="1" applyBorder="1"/>
    <xf numFmtId="0" fontId="13" fillId="0" borderId="1" xfId="0" applyFont="1" applyBorder="1" applyAlignment="1">
      <alignment horizontal="right" vertical="center"/>
    </xf>
    <xf numFmtId="0" fontId="13" fillId="0" borderId="1" xfId="0" applyFont="1" applyBorder="1" applyAlignment="1">
      <alignment horizontal="left" wrapText="1"/>
    </xf>
    <xf numFmtId="169" fontId="13" fillId="7" borderId="1" xfId="0" applyNumberFormat="1" applyFont="1" applyFill="1" applyBorder="1"/>
    <xf numFmtId="169" fontId="13" fillId="7" borderId="1" xfId="1" applyNumberFormat="1" applyFont="1" applyFill="1" applyBorder="1"/>
    <xf numFmtId="164" fontId="13" fillId="7" borderId="1" xfId="1" applyNumberFormat="1" applyFont="1" applyFill="1" applyBorder="1"/>
    <xf numFmtId="0" fontId="13" fillId="0" borderId="12" xfId="0" applyFont="1" applyBorder="1" applyAlignment="1">
      <alignment wrapText="1"/>
    </xf>
    <xf numFmtId="166" fontId="13" fillId="0" borderId="11" xfId="0" applyNumberFormat="1" applyFont="1" applyBorder="1"/>
    <xf numFmtId="166" fontId="13" fillId="0" borderId="9" xfId="0" applyNumberFormat="1" applyFont="1" applyBorder="1"/>
    <xf numFmtId="165" fontId="37" fillId="0" borderId="0" xfId="0" applyNumberFormat="1" applyFont="1" applyBorder="1"/>
    <xf numFmtId="0" fontId="40" fillId="0" borderId="1" xfId="0" applyFont="1" applyBorder="1" applyAlignment="1">
      <alignment wrapText="1"/>
    </xf>
    <xf numFmtId="0" fontId="37" fillId="0" borderId="41" xfId="0" applyFont="1" applyBorder="1" applyAlignment="1">
      <alignment horizontal="right"/>
    </xf>
    <xf numFmtId="164" fontId="13" fillId="0" borderId="1" xfId="0" applyNumberFormat="1" applyFont="1" applyBorder="1" applyAlignment="1">
      <alignment horizontal="center"/>
    </xf>
    <xf numFmtId="0" fontId="37" fillId="0" borderId="42" xfId="0" applyFont="1" applyBorder="1"/>
    <xf numFmtId="181" fontId="13" fillId="7" borderId="1" xfId="0" applyNumberFormat="1" applyFont="1" applyFill="1" applyBorder="1"/>
    <xf numFmtId="183" fontId="13" fillId="0" borderId="1" xfId="0" applyNumberFormat="1" applyFont="1" applyFill="1" applyBorder="1"/>
    <xf numFmtId="183" fontId="13" fillId="7" borderId="1" xfId="0" applyNumberFormat="1" applyFont="1" applyFill="1" applyBorder="1"/>
    <xf numFmtId="0" fontId="13" fillId="0" borderId="42" xfId="0" applyFont="1" applyBorder="1"/>
    <xf numFmtId="0" fontId="13" fillId="0" borderId="1" xfId="0" applyFont="1" applyFill="1" applyBorder="1" applyAlignment="1">
      <alignment horizontal="right"/>
    </xf>
    <xf numFmtId="0" fontId="13" fillId="0" borderId="43" xfId="0" applyFont="1" applyBorder="1"/>
    <xf numFmtId="0" fontId="13" fillId="0" borderId="0" xfId="0" applyFont="1" applyBorder="1" applyAlignment="1">
      <alignment horizontal="left" indent="1"/>
    </xf>
    <xf numFmtId="165" fontId="13" fillId="0" borderId="11" xfId="0" applyNumberFormat="1" applyFont="1" applyBorder="1"/>
    <xf numFmtId="165" fontId="37" fillId="0" borderId="9" xfId="0" applyNumberFormat="1" applyFont="1" applyBorder="1"/>
    <xf numFmtId="179" fontId="13" fillId="0" borderId="0" xfId="0" applyNumberFormat="1" applyFont="1"/>
    <xf numFmtId="1" fontId="13" fillId="0" borderId="0" xfId="0" applyNumberFormat="1" applyFont="1" applyFill="1" applyBorder="1"/>
    <xf numFmtId="9" fontId="13" fillId="0" borderId="1" xfId="2" applyFont="1" applyBorder="1"/>
    <xf numFmtId="166" fontId="13" fillId="0" borderId="11" xfId="0" applyNumberFormat="1" applyFont="1" applyFill="1" applyBorder="1"/>
    <xf numFmtId="166" fontId="13" fillId="0" borderId="11" xfId="0" applyNumberFormat="1" applyFont="1" applyFill="1" applyBorder="1" applyAlignment="1">
      <alignment horizontal="right"/>
    </xf>
    <xf numFmtId="178" fontId="13" fillId="0" borderId="11" xfId="0" applyNumberFormat="1" applyFont="1" applyBorder="1"/>
    <xf numFmtId="166" fontId="37" fillId="0" borderId="9" xfId="0" applyNumberFormat="1" applyFont="1" applyBorder="1"/>
    <xf numFmtId="172" fontId="13" fillId="0" borderId="1" xfId="0" applyNumberFormat="1" applyFont="1" applyBorder="1"/>
    <xf numFmtId="172" fontId="13" fillId="0" borderId="1" xfId="0" applyNumberFormat="1" applyFont="1" applyFill="1" applyBorder="1"/>
    <xf numFmtId="170" fontId="13" fillId="0" borderId="9" xfId="0" applyNumberFormat="1" applyFont="1" applyFill="1" applyBorder="1"/>
    <xf numFmtId="165" fontId="13" fillId="0" borderId="1" xfId="0" applyNumberFormat="1" applyFont="1" applyBorder="1"/>
    <xf numFmtId="0" fontId="13" fillId="7" borderId="1" xfId="0" applyFont="1" applyFill="1" applyBorder="1"/>
    <xf numFmtId="177" fontId="13" fillId="0" borderId="1" xfId="0" applyNumberFormat="1" applyFont="1" applyBorder="1"/>
    <xf numFmtId="177" fontId="13" fillId="0" borderId="1" xfId="0" applyNumberFormat="1" applyFont="1" applyBorder="1" applyAlignment="1">
      <alignment horizontal="right"/>
    </xf>
    <xf numFmtId="0" fontId="13" fillId="0" borderId="1" xfId="0" applyFont="1" applyBorder="1" applyAlignment="1">
      <alignment horizontal="left" indent="1"/>
    </xf>
    <xf numFmtId="0" fontId="13" fillId="3" borderId="0" xfId="0" applyFont="1" applyFill="1" applyAlignment="1">
      <alignment wrapText="1"/>
    </xf>
    <xf numFmtId="0" fontId="89" fillId="0" borderId="1" xfId="0" applyFont="1" applyBorder="1" applyAlignment="1">
      <alignment horizontal="right" vertical="center" wrapText="1"/>
    </xf>
    <xf numFmtId="0" fontId="89" fillId="0" borderId="1" xfId="0" applyFont="1" applyBorder="1" applyAlignment="1">
      <alignment horizontal="right"/>
    </xf>
    <xf numFmtId="3" fontId="89" fillId="0" borderId="1" xfId="0" applyNumberFormat="1" applyFont="1" applyBorder="1" applyAlignment="1">
      <alignment horizontal="right" vertical="center" wrapText="1"/>
    </xf>
    <xf numFmtId="0" fontId="89" fillId="0" borderId="0" xfId="0" applyFont="1" applyBorder="1" applyAlignment="1">
      <alignment horizontal="right" vertical="center" wrapText="1"/>
    </xf>
    <xf numFmtId="164" fontId="13" fillId="0" borderId="1" xfId="1" applyNumberFormat="1" applyFont="1" applyBorder="1" applyAlignment="1">
      <alignment horizontal="center" wrapText="1"/>
    </xf>
    <xf numFmtId="166" fontId="13" fillId="0" borderId="0" xfId="0" quotePrefix="1" applyNumberFormat="1" applyFont="1"/>
    <xf numFmtId="0" fontId="13" fillId="0" borderId="1" xfId="0" applyFont="1" applyBorder="1" applyAlignment="1">
      <alignment horizontal="center"/>
    </xf>
    <xf numFmtId="166" fontId="13" fillId="0" borderId="0" xfId="0" applyNumberFormat="1" applyFont="1" applyFill="1"/>
    <xf numFmtId="1" fontId="13" fillId="0" borderId="1" xfId="0" applyNumberFormat="1" applyFont="1" applyFill="1" applyBorder="1" applyAlignment="1">
      <alignment horizontal="right" vertical="center"/>
    </xf>
    <xf numFmtId="1" fontId="23" fillId="0" borderId="0" xfId="4" applyNumberFormat="1" applyFont="1" applyFill="1" applyAlignment="1">
      <alignment horizontal="left" vertical="center" wrapText="1" indent="1"/>
    </xf>
    <xf numFmtId="166" fontId="23" fillId="0" borderId="0" xfId="0" applyNumberFormat="1" applyFont="1" applyFill="1" applyBorder="1"/>
    <xf numFmtId="166" fontId="24" fillId="0" borderId="0" xfId="0" applyNumberFormat="1" applyFont="1" applyFill="1" applyBorder="1"/>
    <xf numFmtId="166" fontId="23" fillId="0" borderId="1" xfId="0" applyNumberFormat="1" applyFont="1" applyFill="1" applyBorder="1" applyAlignment="1">
      <alignment wrapText="1"/>
    </xf>
    <xf numFmtId="0" fontId="16" fillId="2" borderId="1" xfId="0" applyFont="1" applyFill="1" applyBorder="1" applyAlignment="1">
      <alignment horizontal="left" vertical="center" wrapText="1"/>
    </xf>
    <xf numFmtId="0" fontId="8" fillId="2" borderId="1" xfId="0" applyFont="1" applyFill="1" applyBorder="1" applyAlignment="1">
      <alignment wrapText="1"/>
    </xf>
    <xf numFmtId="0" fontId="8" fillId="0" borderId="1" xfId="0" applyFont="1" applyFill="1" applyBorder="1"/>
    <xf numFmtId="0" fontId="8" fillId="0" borderId="1" xfId="0" applyFont="1" applyBorder="1" applyAlignment="1">
      <alignment wrapText="1"/>
    </xf>
    <xf numFmtId="0" fontId="8" fillId="0" borderId="0" xfId="0" applyFont="1" applyFill="1" applyBorder="1" applyAlignment="1"/>
    <xf numFmtId="0" fontId="23" fillId="2" borderId="1" xfId="0" applyFont="1" applyFill="1" applyBorder="1" applyAlignment="1">
      <alignment horizontal="left" wrapText="1"/>
    </xf>
    <xf numFmtId="1" fontId="8" fillId="2" borderId="1" xfId="0" applyNumberFormat="1" applyFont="1" applyFill="1" applyBorder="1" applyAlignment="1">
      <alignment wrapText="1"/>
    </xf>
    <xf numFmtId="0" fontId="8" fillId="2" borderId="1" xfId="0" applyFont="1" applyFill="1" applyBorder="1" applyAlignment="1">
      <alignment horizontal="left" wrapText="1"/>
    </xf>
    <xf numFmtId="1" fontId="8" fillId="0" borderId="1" xfId="0" applyNumberFormat="1" applyFont="1" applyBorder="1" applyAlignment="1">
      <alignment wrapText="1"/>
    </xf>
    <xf numFmtId="166" fontId="23" fillId="2" borderId="1" xfId="1" applyNumberFormat="1" applyFont="1" applyFill="1" applyBorder="1" applyAlignment="1">
      <alignment horizontal="left" wrapText="1"/>
    </xf>
    <xf numFmtId="174" fontId="23" fillId="0" borderId="0" xfId="0" applyNumberFormat="1" applyFont="1" applyFill="1" applyBorder="1"/>
    <xf numFmtId="174" fontId="13" fillId="0" borderId="0" xfId="2" applyNumberFormat="1" applyFont="1" applyFill="1" applyBorder="1"/>
    <xf numFmtId="0" fontId="13" fillId="0" borderId="0" xfId="0" quotePrefix="1" applyFont="1" applyFill="1" applyBorder="1" applyAlignment="1">
      <alignment wrapText="1"/>
    </xf>
    <xf numFmtId="0" fontId="8" fillId="0" borderId="0" xfId="0" applyFont="1" applyFill="1" applyBorder="1" applyAlignment="1">
      <alignment horizontal="left"/>
    </xf>
    <xf numFmtId="0" fontId="26" fillId="0" borderId="0" xfId="0" applyFont="1" applyFill="1" applyBorder="1"/>
    <xf numFmtId="170" fontId="23" fillId="7" borderId="1" xfId="0" applyNumberFormat="1" applyFont="1" applyFill="1" applyBorder="1" applyAlignment="1">
      <alignment horizontal="center"/>
    </xf>
    <xf numFmtId="1" fontId="23" fillId="0" borderId="1" xfId="4" applyNumberFormat="1" applyFont="1" applyFill="1" applyBorder="1" applyAlignment="1">
      <alignment horizontal="center" wrapText="1"/>
    </xf>
    <xf numFmtId="170" fontId="23" fillId="0" borderId="1" xfId="4" applyNumberFormat="1" applyFont="1" applyFill="1" applyBorder="1" applyAlignment="1">
      <alignment horizontal="center"/>
    </xf>
    <xf numFmtId="0" fontId="0" fillId="0" borderId="1" xfId="0" applyFill="1" applyBorder="1" applyAlignment="1">
      <alignment horizontal="left"/>
    </xf>
    <xf numFmtId="0" fontId="90" fillId="6" borderId="0" xfId="0" applyFont="1" applyFill="1" applyAlignment="1">
      <alignment wrapText="1"/>
    </xf>
    <xf numFmtId="0" fontId="91" fillId="6" borderId="0" xfId="0" applyFont="1" applyFill="1"/>
    <xf numFmtId="0" fontId="92" fillId="0" borderId="0" xfId="0" applyFont="1"/>
    <xf numFmtId="0" fontId="92" fillId="0" borderId="0" xfId="0" applyFont="1" applyAlignment="1">
      <alignment wrapText="1"/>
    </xf>
    <xf numFmtId="0" fontId="93" fillId="0" borderId="0" xfId="0" applyFont="1"/>
    <xf numFmtId="0" fontId="92" fillId="0" borderId="1" xfId="0" applyFont="1" applyBorder="1" applyAlignment="1">
      <alignment horizontal="left" vertical="center" wrapText="1"/>
    </xf>
    <xf numFmtId="0" fontId="92" fillId="0" borderId="1" xfId="0" applyFont="1" applyBorder="1" applyAlignment="1">
      <alignment horizontal="right" vertical="center" wrapText="1"/>
    </xf>
    <xf numFmtId="0" fontId="92" fillId="0" borderId="1" xfId="0" applyFont="1" applyBorder="1" applyAlignment="1">
      <alignment vertical="center"/>
    </xf>
    <xf numFmtId="0" fontId="92" fillId="0" borderId="1" xfId="0" quotePrefix="1" applyFont="1" applyFill="1" applyBorder="1" applyAlignment="1">
      <alignment wrapText="1"/>
    </xf>
    <xf numFmtId="164" fontId="92" fillId="0" borderId="1" xfId="1" quotePrefix="1" applyNumberFormat="1" applyFont="1" applyFill="1" applyBorder="1" applyAlignment="1">
      <alignment horizontal="right" vertical="center" wrapText="1"/>
    </xf>
    <xf numFmtId="0" fontId="92" fillId="0" borderId="1" xfId="0" quotePrefix="1" applyFont="1" applyFill="1" applyBorder="1" applyAlignment="1">
      <alignment vertical="center" wrapText="1"/>
    </xf>
    <xf numFmtId="0" fontId="93" fillId="0" borderId="1" xfId="0" applyFont="1" applyBorder="1"/>
    <xf numFmtId="0" fontId="93" fillId="0" borderId="0" xfId="0" applyFont="1" applyBorder="1"/>
    <xf numFmtId="164" fontId="94" fillId="0" borderId="1" xfId="1" quotePrefix="1" applyNumberFormat="1" applyFont="1" applyBorder="1" applyAlignment="1">
      <alignment horizontal="right" vertical="center" wrapText="1"/>
    </xf>
    <xf numFmtId="0" fontId="95" fillId="0" borderId="0" xfId="0" applyFont="1" applyAlignment="1">
      <alignment wrapText="1"/>
    </xf>
    <xf numFmtId="166" fontId="95" fillId="6" borderId="0" xfId="0" applyNumberFormat="1" applyFont="1" applyFill="1"/>
    <xf numFmtId="0" fontId="95" fillId="0" borderId="0" xfId="0" applyFont="1"/>
    <xf numFmtId="164" fontId="21" fillId="0" borderId="1" xfId="1" applyNumberFormat="1" applyFont="1" applyBorder="1"/>
    <xf numFmtId="164" fontId="9" fillId="0" borderId="1" xfId="1" applyNumberFormat="1" applyFont="1" applyBorder="1" applyAlignment="1">
      <alignment horizontal="right" vertical="center" wrapText="1"/>
    </xf>
    <xf numFmtId="0" fontId="23" fillId="0" borderId="1" xfId="0" applyFont="1" applyBorder="1" applyAlignment="1">
      <alignment horizontal="left" wrapText="1"/>
    </xf>
    <xf numFmtId="164" fontId="24" fillId="14" borderId="48" xfId="1" applyNumberFormat="1" applyFont="1" applyFill="1" applyBorder="1" applyAlignment="1">
      <alignment vertical="center" wrapText="1"/>
    </xf>
    <xf numFmtId="164" fontId="24" fillId="14" borderId="49" xfId="1" applyNumberFormat="1" applyFont="1" applyFill="1" applyBorder="1" applyAlignment="1">
      <alignment horizontal="center" vertical="center" wrapText="1"/>
    </xf>
    <xf numFmtId="164" fontId="24" fillId="14" borderId="48" xfId="1" applyNumberFormat="1" applyFont="1" applyFill="1" applyBorder="1" applyAlignment="1">
      <alignment horizontal="center" vertical="center" wrapText="1"/>
    </xf>
    <xf numFmtId="164" fontId="24" fillId="14" borderId="50" xfId="1" applyNumberFormat="1" applyFont="1" applyFill="1" applyBorder="1" applyAlignment="1">
      <alignment horizontal="center" vertical="center" wrapText="1"/>
    </xf>
    <xf numFmtId="164" fontId="24" fillId="14" borderId="51" xfId="1" applyNumberFormat="1" applyFont="1" applyFill="1" applyBorder="1" applyAlignment="1">
      <alignment horizontal="center" vertical="center" wrapText="1"/>
    </xf>
    <xf numFmtId="164" fontId="37" fillId="14" borderId="44" xfId="1" applyNumberFormat="1" applyFont="1" applyFill="1" applyBorder="1" applyAlignment="1">
      <alignment horizontal="left" vertical="center" wrapText="1"/>
    </xf>
    <xf numFmtId="166" fontId="23" fillId="0" borderId="18" xfId="1" applyNumberFormat="1" applyFont="1" applyBorder="1" applyAlignment="1">
      <alignment vertical="center"/>
    </xf>
    <xf numFmtId="10" fontId="23" fillId="0" borderId="18" xfId="2" applyNumberFormat="1" applyFont="1" applyBorder="1" applyAlignment="1">
      <alignment vertical="center"/>
    </xf>
    <xf numFmtId="171" fontId="23" fillId="0" borderId="18" xfId="0" applyNumberFormat="1" applyFont="1" applyBorder="1" applyAlignment="1">
      <alignment vertical="center"/>
    </xf>
    <xf numFmtId="0" fontId="13" fillId="0" borderId="18" xfId="0" applyFont="1" applyBorder="1" applyAlignment="1">
      <alignment vertical="center"/>
    </xf>
    <xf numFmtId="0" fontId="13" fillId="0" borderId="0" xfId="0" applyFont="1" applyBorder="1" applyAlignment="1">
      <alignment vertical="center"/>
    </xf>
    <xf numFmtId="164" fontId="24" fillId="0" borderId="0" xfId="0" applyNumberFormat="1" applyFont="1" applyFill="1" applyBorder="1" applyAlignment="1">
      <alignment horizontal="center" vertical="center"/>
    </xf>
    <xf numFmtId="164" fontId="24" fillId="0" borderId="18" xfId="0" applyNumberFormat="1" applyFont="1" applyBorder="1" applyAlignment="1">
      <alignment vertical="center"/>
    </xf>
    <xf numFmtId="0" fontId="13" fillId="0" borderId="0" xfId="0" applyFont="1" applyFill="1" applyBorder="1" applyAlignment="1">
      <alignment vertical="center"/>
    </xf>
    <xf numFmtId="0" fontId="0" fillId="0" borderId="0" xfId="0" applyAlignment="1">
      <alignment vertical="center"/>
    </xf>
    <xf numFmtId="0" fontId="0" fillId="5" borderId="0" xfId="0" applyFont="1" applyFill="1" applyAlignment="1">
      <alignment horizontal="right"/>
    </xf>
    <xf numFmtId="49" fontId="23" fillId="5" borderId="0" xfId="0" applyNumberFormat="1" applyFont="1" applyFill="1" applyAlignment="1">
      <alignment horizontal="right" indent="1"/>
    </xf>
    <xf numFmtId="1" fontId="23" fillId="5" borderId="0" xfId="0" applyNumberFormat="1" applyFont="1" applyFill="1" applyAlignment="1">
      <alignment horizontal="right" indent="1"/>
    </xf>
    <xf numFmtId="49" fontId="23" fillId="5" borderId="0" xfId="1" quotePrefix="1" applyNumberFormat="1" applyFont="1" applyFill="1" applyAlignment="1">
      <alignment horizontal="right" indent="1"/>
    </xf>
    <xf numFmtId="0" fontId="0" fillId="0" borderId="0" xfId="0" applyFill="1" applyAlignment="1">
      <alignment vertical="center" wrapText="1"/>
    </xf>
    <xf numFmtId="0" fontId="77" fillId="5" borderId="0" xfId="0" applyFont="1" applyFill="1" applyAlignment="1">
      <alignment vertical="center"/>
    </xf>
    <xf numFmtId="164" fontId="37" fillId="14" borderId="47" xfId="0" applyNumberFormat="1" applyFont="1" applyFill="1" applyBorder="1" applyAlignment="1">
      <alignment horizontal="right" vertical="center" indent="1"/>
    </xf>
    <xf numFmtId="0" fontId="37" fillId="14" borderId="47" xfId="0" applyFont="1" applyFill="1" applyBorder="1" applyAlignment="1">
      <alignment horizontal="right" vertical="center" indent="1"/>
    </xf>
    <xf numFmtId="170" fontId="37" fillId="14" borderId="47" xfId="0" applyNumberFormat="1" applyFont="1" applyFill="1" applyBorder="1" applyAlignment="1">
      <alignment horizontal="right" vertical="center" indent="1"/>
    </xf>
    <xf numFmtId="5" fontId="1" fillId="14" borderId="46" xfId="0" applyNumberFormat="1" applyFont="1" applyFill="1" applyBorder="1" applyAlignment="1">
      <alignment horizontal="right" vertical="center" indent="1"/>
    </xf>
    <xf numFmtId="164" fontId="1" fillId="14" borderId="44" xfId="0" applyNumberFormat="1" applyFont="1" applyFill="1" applyBorder="1" applyAlignment="1">
      <alignment horizontal="right" vertical="center" indent="1"/>
    </xf>
    <xf numFmtId="174" fontId="1" fillId="14" borderId="44" xfId="2" applyNumberFormat="1" applyFont="1" applyFill="1" applyBorder="1" applyAlignment="1">
      <alignment horizontal="right" vertical="center" indent="1"/>
    </xf>
    <xf numFmtId="5" fontId="37" fillId="14" borderId="45" xfId="1" applyNumberFormat="1" applyFont="1" applyFill="1" applyBorder="1" applyAlignment="1">
      <alignment horizontal="right" vertical="center" indent="1"/>
    </xf>
    <xf numFmtId="5" fontId="1" fillId="14" borderId="45" xfId="0" applyNumberFormat="1" applyFont="1" applyFill="1" applyBorder="1" applyAlignment="1">
      <alignment horizontal="right" vertical="center" indent="1"/>
    </xf>
    <xf numFmtId="0" fontId="8" fillId="0" borderId="1" xfId="0" applyFont="1" applyFill="1" applyBorder="1" applyAlignment="1">
      <alignment horizontal="left" vertical="center" wrapText="1"/>
    </xf>
    <xf numFmtId="5" fontId="61" fillId="14" borderId="46" xfId="0" applyNumberFormat="1" applyFont="1" applyFill="1" applyBorder="1" applyAlignment="1">
      <alignment horizontal="right" vertical="center" indent="1"/>
    </xf>
    <xf numFmtId="0" fontId="21" fillId="0" borderId="1" xfId="0" applyFont="1" applyFill="1" applyBorder="1" applyAlignment="1">
      <alignment horizontal="left" vertical="center" wrapText="1" indent="1"/>
    </xf>
    <xf numFmtId="164" fontId="23" fillId="0" borderId="0" xfId="1" applyNumberFormat="1" applyFont="1" applyFill="1" applyBorder="1" applyAlignment="1">
      <alignment horizontal="right"/>
    </xf>
    <xf numFmtId="164" fontId="8" fillId="0" borderId="0" xfId="1" applyNumberFormat="1" applyFont="1" applyFill="1" applyBorder="1" applyAlignment="1">
      <alignment horizontal="right" wrapText="1"/>
    </xf>
    <xf numFmtId="164" fontId="23" fillId="0" borderId="0" xfId="1" applyNumberFormat="1" applyFont="1" applyFill="1" applyBorder="1" applyAlignment="1">
      <alignment horizontal="right" vertical="center" wrapText="1"/>
    </xf>
    <xf numFmtId="164" fontId="23" fillId="0" borderId="0" xfId="1" applyNumberFormat="1" applyFont="1" applyFill="1" applyBorder="1" applyAlignment="1">
      <alignment horizontal="right" wrapText="1"/>
    </xf>
    <xf numFmtId="164" fontId="23" fillId="0" borderId="17" xfId="1" applyNumberFormat="1" applyFont="1" applyFill="1" applyBorder="1" applyAlignment="1">
      <alignment horizontal="right" wrapText="1"/>
    </xf>
    <xf numFmtId="164" fontId="23" fillId="11" borderId="20" xfId="1" applyNumberFormat="1" applyFont="1" applyFill="1" applyBorder="1" applyAlignment="1">
      <alignment horizontal="right"/>
    </xf>
    <xf numFmtId="0" fontId="23" fillId="0" borderId="59" xfId="0" applyFont="1" applyBorder="1"/>
    <xf numFmtId="164" fontId="23" fillId="2" borderId="20" xfId="1" applyNumberFormat="1" applyFont="1" applyFill="1" applyBorder="1"/>
    <xf numFmtId="0" fontId="0" fillId="0" borderId="0" xfId="0" applyFont="1" applyBorder="1"/>
    <xf numFmtId="166" fontId="0" fillId="5" borderId="0" xfId="0" applyNumberFormat="1" applyFill="1"/>
    <xf numFmtId="166" fontId="66" fillId="5" borderId="0" xfId="0" applyNumberFormat="1" applyFont="1" applyFill="1"/>
    <xf numFmtId="169" fontId="66" fillId="5" borderId="0" xfId="0" applyNumberFormat="1" applyFont="1" applyFill="1"/>
    <xf numFmtId="169" fontId="0" fillId="5" borderId="0" xfId="0" applyNumberFormat="1" applyFill="1"/>
    <xf numFmtId="1" fontId="32" fillId="0" borderId="0" xfId="0" applyNumberFormat="1" applyFont="1" applyFill="1" applyBorder="1"/>
    <xf numFmtId="167" fontId="13" fillId="2" borderId="12" xfId="4" applyNumberFormat="1" applyFont="1" applyFill="1" applyBorder="1" applyAlignment="1">
      <alignment vertical="center"/>
    </xf>
    <xf numFmtId="9" fontId="13" fillId="0" borderId="0" xfId="0" applyNumberFormat="1" applyFont="1"/>
    <xf numFmtId="184" fontId="13" fillId="6" borderId="0" xfId="0" applyNumberFormat="1" applyFont="1" applyFill="1"/>
    <xf numFmtId="166" fontId="13" fillId="5" borderId="0" xfId="0" applyNumberFormat="1" applyFont="1" applyFill="1" applyBorder="1"/>
    <xf numFmtId="164" fontId="8" fillId="0" borderId="1" xfId="1" applyNumberFormat="1" applyFont="1" applyFill="1" applyBorder="1"/>
    <xf numFmtId="164" fontId="16" fillId="0" borderId="1" xfId="0" applyNumberFormat="1" applyFont="1" applyFill="1" applyBorder="1"/>
    <xf numFmtId="164" fontId="16" fillId="0" borderId="1" xfId="0" applyNumberFormat="1" applyFont="1" applyFill="1" applyBorder="1" applyAlignment="1">
      <alignment horizontal="center"/>
    </xf>
    <xf numFmtId="0" fontId="16" fillId="0" borderId="1" xfId="0" applyFont="1" applyFill="1" applyBorder="1" applyAlignment="1">
      <alignment horizontal="center"/>
    </xf>
    <xf numFmtId="9" fontId="13" fillId="0" borderId="0" xfId="0" applyNumberFormat="1" applyFont="1" applyFill="1" applyBorder="1"/>
    <xf numFmtId="164" fontId="23" fillId="0" borderId="0" xfId="1" applyNumberFormat="1" applyFont="1" applyFill="1" applyBorder="1" applyAlignment="1">
      <alignment horizontal="left"/>
    </xf>
    <xf numFmtId="164" fontId="8" fillId="0" borderId="0" xfId="1" applyNumberFormat="1" applyFont="1" applyFill="1" applyBorder="1" applyAlignment="1">
      <alignment horizontal="left"/>
    </xf>
    <xf numFmtId="164" fontId="8" fillId="0" borderId="0" xfId="1" applyNumberFormat="1" applyFont="1" applyFill="1" applyBorder="1" applyAlignment="1">
      <alignment horizontal="left" wrapText="1"/>
    </xf>
    <xf numFmtId="164" fontId="23" fillId="0" borderId="0" xfId="1" applyNumberFormat="1" applyFont="1" applyFill="1" applyBorder="1" applyAlignment="1">
      <alignment horizontal="left" vertical="center" wrapText="1"/>
    </xf>
    <xf numFmtId="164" fontId="23" fillId="0" borderId="0" xfId="1" applyNumberFormat="1" applyFont="1" applyFill="1" applyBorder="1" applyAlignment="1">
      <alignment horizontal="left" wrapText="1"/>
    </xf>
    <xf numFmtId="164" fontId="23" fillId="0" borderId="17" xfId="1" applyNumberFormat="1" applyFont="1" applyFill="1" applyBorder="1" applyAlignment="1">
      <alignment horizontal="left" wrapText="1"/>
    </xf>
    <xf numFmtId="164" fontId="1" fillId="0" borderId="0" xfId="0" applyNumberFormat="1" applyFont="1" applyFill="1" applyBorder="1" applyAlignment="1">
      <alignment horizontal="center"/>
    </xf>
    <xf numFmtId="0" fontId="1" fillId="0" borderId="0" xfId="0" applyFont="1" applyFill="1" applyBorder="1" applyAlignment="1">
      <alignment horizontal="center"/>
    </xf>
    <xf numFmtId="166" fontId="1" fillId="0" borderId="0" xfId="0" applyNumberFormat="1" applyFont="1" applyFill="1" applyBorder="1" applyAlignment="1">
      <alignment horizontal="center"/>
    </xf>
    <xf numFmtId="164" fontId="0" fillId="0" borderId="0" xfId="0" applyNumberFormat="1" applyFont="1" applyAlignment="1">
      <alignment horizontal="center"/>
    </xf>
    <xf numFmtId="0" fontId="0" fillId="0" borderId="0" xfId="0" applyFont="1" applyAlignment="1">
      <alignment horizontal="center"/>
    </xf>
    <xf numFmtId="185" fontId="0" fillId="0" borderId="0" xfId="0" applyNumberFormat="1" applyFont="1" applyFill="1" applyBorder="1" applyAlignment="1">
      <alignment horizontal="center"/>
    </xf>
    <xf numFmtId="166" fontId="0" fillId="0" borderId="0" xfId="0" applyNumberFormat="1" applyFont="1" applyFill="1" applyBorder="1" applyAlignment="1">
      <alignment horizontal="center"/>
    </xf>
    <xf numFmtId="0" fontId="0" fillId="0" borderId="0" xfId="0" applyFont="1" applyFill="1" applyBorder="1" applyAlignment="1">
      <alignment horizontal="center"/>
    </xf>
    <xf numFmtId="164" fontId="0" fillId="0" borderId="0" xfId="0" applyNumberFormat="1" applyFont="1" applyAlignment="1">
      <alignment horizontal="left"/>
    </xf>
    <xf numFmtId="9" fontId="23" fillId="0" borderId="1" xfId="0" applyNumberFormat="1" applyFont="1" applyFill="1" applyBorder="1" applyAlignment="1">
      <alignment horizontal="right" vertical="center" indent="1"/>
    </xf>
    <xf numFmtId="166" fontId="23" fillId="0" borderId="18" xfId="1" applyNumberFormat="1" applyFont="1" applyFill="1" applyBorder="1"/>
    <xf numFmtId="10" fontId="23" fillId="0" borderId="18" xfId="2" applyNumberFormat="1" applyFont="1" applyFill="1" applyBorder="1"/>
    <xf numFmtId="171" fontId="23" fillId="0" borderId="18" xfId="0" applyNumberFormat="1" applyFont="1" applyFill="1" applyBorder="1"/>
    <xf numFmtId="164" fontId="4" fillId="0" borderId="18" xfId="1" applyNumberFormat="1" applyFont="1" applyFill="1" applyBorder="1"/>
    <xf numFmtId="171" fontId="13" fillId="0" borderId="0" xfId="0" applyNumberFormat="1" applyFont="1" applyFill="1"/>
    <xf numFmtId="10" fontId="8" fillId="0" borderId="18" xfId="2" applyNumberFormat="1" applyFont="1" applyFill="1" applyBorder="1"/>
    <xf numFmtId="171" fontId="8" fillId="0" borderId="18" xfId="0" applyNumberFormat="1" applyFont="1" applyFill="1" applyBorder="1"/>
    <xf numFmtId="164" fontId="23" fillId="2" borderId="14" xfId="1" applyNumberFormat="1" applyFont="1" applyFill="1" applyBorder="1"/>
    <xf numFmtId="0" fontId="0" fillId="0" borderId="60" xfId="0" applyBorder="1" applyAlignment="1">
      <alignment horizontal="left"/>
    </xf>
    <xf numFmtId="0" fontId="0" fillId="0" borderId="61" xfId="0" applyFill="1" applyBorder="1"/>
    <xf numFmtId="0" fontId="13" fillId="0" borderId="61" xfId="0" applyFont="1" applyFill="1" applyBorder="1"/>
    <xf numFmtId="0" fontId="13" fillId="0" borderId="61" xfId="0" applyFont="1" applyFill="1" applyBorder="1" applyAlignment="1">
      <alignment vertical="center"/>
    </xf>
    <xf numFmtId="0" fontId="13" fillId="0" borderId="62" xfId="0" applyFont="1" applyFill="1" applyBorder="1"/>
    <xf numFmtId="164" fontId="23" fillId="11" borderId="62" xfId="1" applyNumberFormat="1" applyFont="1" applyFill="1" applyBorder="1"/>
    <xf numFmtId="0" fontId="13" fillId="5" borderId="0" xfId="0" applyFont="1" applyFill="1" applyBorder="1" applyAlignment="1">
      <alignment horizontal="right"/>
    </xf>
    <xf numFmtId="0" fontId="13" fillId="5" borderId="0" xfId="0" applyFont="1" applyFill="1" applyBorder="1" applyAlignment="1">
      <alignment horizontal="right" indent="1"/>
    </xf>
    <xf numFmtId="0" fontId="13" fillId="5" borderId="7" xfId="0" applyFont="1" applyFill="1" applyBorder="1" applyAlignment="1">
      <alignment horizontal="right" indent="1"/>
    </xf>
    <xf numFmtId="0" fontId="13" fillId="5" borderId="6" xfId="0" applyFont="1" applyFill="1" applyBorder="1" applyAlignment="1">
      <alignment horizontal="right" indent="1"/>
    </xf>
    <xf numFmtId="3" fontId="13" fillId="0" borderId="0" xfId="0" applyNumberFormat="1" applyFont="1"/>
    <xf numFmtId="0" fontId="32" fillId="0" borderId="0" xfId="0" applyFont="1" applyBorder="1"/>
    <xf numFmtId="164" fontId="23" fillId="0" borderId="18" xfId="1" applyNumberFormat="1" applyFont="1" applyBorder="1" applyAlignment="1">
      <alignment horizontal="center" textRotation="45"/>
    </xf>
    <xf numFmtId="0" fontId="13" fillId="0" borderId="0" xfId="0" applyFont="1" applyFill="1" applyBorder="1" applyAlignment="1">
      <alignment horizontal="center"/>
    </xf>
    <xf numFmtId="166" fontId="4" fillId="0" borderId="0" xfId="0" applyNumberFormat="1" applyFont="1" applyFill="1" applyBorder="1"/>
    <xf numFmtId="166" fontId="0" fillId="0" borderId="0" xfId="0" applyNumberFormat="1" applyFont="1" applyFill="1" applyBorder="1"/>
    <xf numFmtId="166" fontId="9" fillId="0" borderId="0" xfId="0" applyNumberFormat="1" applyFont="1" applyFill="1" applyBorder="1" applyAlignment="1">
      <alignment vertical="center"/>
    </xf>
    <xf numFmtId="166" fontId="13" fillId="0" borderId="0" xfId="0" applyNumberFormat="1" applyFont="1" applyFill="1" applyBorder="1"/>
    <xf numFmtId="5" fontId="23" fillId="0" borderId="0" xfId="0" applyNumberFormat="1" applyFont="1" applyFill="1" applyBorder="1"/>
    <xf numFmtId="0" fontId="97" fillId="0" borderId="0" xfId="0" applyFont="1"/>
    <xf numFmtId="0" fontId="8" fillId="5" borderId="44" xfId="0" applyFont="1" applyFill="1" applyBorder="1" applyAlignment="1">
      <alignment horizontal="left" wrapText="1" indent="1"/>
    </xf>
    <xf numFmtId="166" fontId="8" fillId="5" borderId="45" xfId="0" applyNumberFormat="1" applyFont="1" applyFill="1" applyBorder="1" applyAlignment="1">
      <alignment horizontal="right" wrapText="1" indent="1"/>
    </xf>
    <xf numFmtId="174" fontId="8" fillId="5" borderId="44" xfId="2" applyNumberFormat="1" applyFont="1" applyFill="1" applyBorder="1" applyAlignment="1">
      <alignment horizontal="right" wrapText="1" indent="1"/>
    </xf>
    <xf numFmtId="166" fontId="8" fillId="5" borderId="46" xfId="0" applyNumberFormat="1" applyFont="1" applyFill="1" applyBorder="1" applyAlignment="1">
      <alignment horizontal="right" wrapText="1" indent="1"/>
    </xf>
    <xf numFmtId="170" fontId="8" fillId="5" borderId="44" xfId="0" applyNumberFormat="1" applyFont="1" applyFill="1" applyBorder="1" applyAlignment="1">
      <alignment horizontal="right" wrapText="1" indent="1"/>
    </xf>
    <xf numFmtId="165" fontId="8" fillId="5" borderId="46" xfId="0" applyNumberFormat="1" applyFont="1" applyFill="1" applyBorder="1" applyAlignment="1">
      <alignment horizontal="right" wrapText="1" indent="1"/>
    </xf>
    <xf numFmtId="1" fontId="8" fillId="5" borderId="47" xfId="0" applyNumberFormat="1" applyFont="1" applyFill="1" applyBorder="1" applyAlignment="1">
      <alignment horizontal="right" wrapText="1" indent="1"/>
    </xf>
    <xf numFmtId="2" fontId="8" fillId="5" borderId="47" xfId="0" applyNumberFormat="1" applyFont="1" applyFill="1" applyBorder="1" applyAlignment="1">
      <alignment horizontal="right" wrapText="1" indent="1"/>
    </xf>
    <xf numFmtId="0" fontId="8" fillId="5" borderId="52" xfId="0" applyFont="1" applyFill="1" applyBorder="1" applyAlignment="1">
      <alignment horizontal="left" wrapText="1" indent="1"/>
    </xf>
    <xf numFmtId="166" fontId="8" fillId="5" borderId="53" xfId="0" applyNumberFormat="1" applyFont="1" applyFill="1" applyBorder="1" applyAlignment="1">
      <alignment horizontal="right" wrapText="1" indent="1"/>
    </xf>
    <xf numFmtId="174" fontId="8" fillId="5" borderId="52" xfId="2" applyNumberFormat="1" applyFont="1" applyFill="1" applyBorder="1" applyAlignment="1">
      <alignment horizontal="right" wrapText="1" indent="1"/>
    </xf>
    <xf numFmtId="166" fontId="8" fillId="5" borderId="54" xfId="0" applyNumberFormat="1" applyFont="1" applyFill="1" applyBorder="1" applyAlignment="1">
      <alignment horizontal="right" wrapText="1" indent="1"/>
    </xf>
    <xf numFmtId="170" fontId="8" fillId="5" borderId="52" xfId="0" applyNumberFormat="1" applyFont="1" applyFill="1" applyBorder="1" applyAlignment="1">
      <alignment horizontal="right" wrapText="1" indent="1"/>
    </xf>
    <xf numFmtId="165" fontId="8" fillId="5" borderId="54" xfId="0" applyNumberFormat="1" applyFont="1" applyFill="1" applyBorder="1" applyAlignment="1">
      <alignment horizontal="right" wrapText="1" indent="1"/>
    </xf>
    <xf numFmtId="1" fontId="8" fillId="5" borderId="0" xfId="0" applyNumberFormat="1" applyFont="1" applyFill="1" applyBorder="1" applyAlignment="1">
      <alignment horizontal="right" wrapText="1" indent="1"/>
    </xf>
    <xf numFmtId="2" fontId="8" fillId="5" borderId="0" xfId="0" applyNumberFormat="1" applyFont="1" applyFill="1" applyBorder="1" applyAlignment="1">
      <alignment horizontal="right" wrapText="1" indent="1"/>
    </xf>
    <xf numFmtId="0" fontId="8" fillId="5" borderId="55" xfId="0" applyFont="1" applyFill="1" applyBorder="1" applyAlignment="1">
      <alignment horizontal="left" wrapText="1" indent="1"/>
    </xf>
    <xf numFmtId="166" fontId="8" fillId="5" borderId="56" xfId="0" applyNumberFormat="1" applyFont="1" applyFill="1" applyBorder="1" applyAlignment="1">
      <alignment horizontal="right" wrapText="1" indent="1"/>
    </xf>
    <xf numFmtId="174" fontId="8" fillId="5" borderId="55" xfId="2" applyNumberFormat="1" applyFont="1" applyFill="1" applyBorder="1" applyAlignment="1">
      <alignment horizontal="right" wrapText="1" indent="1"/>
    </xf>
    <xf numFmtId="166" fontId="8" fillId="5" borderId="57" xfId="0" applyNumberFormat="1" applyFont="1" applyFill="1" applyBorder="1" applyAlignment="1">
      <alignment horizontal="right" wrapText="1" indent="1"/>
    </xf>
    <xf numFmtId="170" fontId="8" fillId="5" borderId="55" xfId="0" applyNumberFormat="1" applyFont="1" applyFill="1" applyBorder="1" applyAlignment="1">
      <alignment horizontal="right" wrapText="1" indent="1"/>
    </xf>
    <xf numFmtId="165" fontId="8" fillId="5" borderId="57" xfId="0" applyNumberFormat="1" applyFont="1" applyFill="1" applyBorder="1" applyAlignment="1">
      <alignment horizontal="right" wrapText="1" indent="1"/>
    </xf>
    <xf numFmtId="1" fontId="8" fillId="5" borderId="58" xfId="0" applyNumberFormat="1" applyFont="1" applyFill="1" applyBorder="1" applyAlignment="1">
      <alignment horizontal="right" wrapText="1" indent="1"/>
    </xf>
    <xf numFmtId="2" fontId="8" fillId="5" borderId="58" xfId="0" applyNumberFormat="1" applyFont="1" applyFill="1" applyBorder="1" applyAlignment="1">
      <alignment horizontal="right" wrapText="1" indent="1"/>
    </xf>
    <xf numFmtId="174" fontId="0" fillId="5" borderId="0" xfId="2" applyNumberFormat="1" applyFont="1" applyFill="1" applyBorder="1" applyAlignment="1">
      <alignment horizontal="right" wrapText="1" indent="1"/>
    </xf>
    <xf numFmtId="166" fontId="0" fillId="5" borderId="0" xfId="0" applyNumberFormat="1" applyFill="1" applyBorder="1" applyAlignment="1">
      <alignment horizontal="right" wrapText="1" indent="1"/>
    </xf>
    <xf numFmtId="174" fontId="0" fillId="5" borderId="8" xfId="2" applyNumberFormat="1" applyFont="1" applyFill="1" applyBorder="1" applyAlignment="1">
      <alignment horizontal="right" wrapText="1" indent="1"/>
    </xf>
    <xf numFmtId="166" fontId="0" fillId="5" borderId="8" xfId="0" applyNumberFormat="1" applyFill="1" applyBorder="1" applyAlignment="1">
      <alignment horizontal="right" wrapText="1" indent="1"/>
    </xf>
    <xf numFmtId="0" fontId="8" fillId="5" borderId="0" xfId="0" applyFont="1" applyFill="1" applyAlignment="1">
      <alignment horizontal="right" wrapText="1"/>
    </xf>
    <xf numFmtId="0" fontId="16" fillId="5" borderId="0" xfId="0" applyFont="1" applyFill="1" applyAlignment="1">
      <alignment horizontal="left"/>
    </xf>
    <xf numFmtId="0" fontId="16" fillId="5" borderId="0" xfId="0" applyFont="1" applyFill="1" applyAlignment="1">
      <alignment horizontal="right" indent="1"/>
    </xf>
    <xf numFmtId="0" fontId="8" fillId="5" borderId="0" xfId="0" applyFont="1" applyFill="1" applyAlignment="1">
      <alignment horizontal="right" indent="1"/>
    </xf>
    <xf numFmtId="0" fontId="0" fillId="5" borderId="0" xfId="0" applyFill="1" applyAlignment="1">
      <alignment horizontal="right" indent="1"/>
    </xf>
    <xf numFmtId="0" fontId="20" fillId="5" borderId="0" xfId="0" applyFont="1" applyFill="1" applyAlignment="1">
      <alignment horizontal="left" indent="2"/>
    </xf>
    <xf numFmtId="0" fontId="16" fillId="5" borderId="0" xfId="0" applyFont="1" applyFill="1" applyAlignment="1">
      <alignment horizontal="left" wrapText="1"/>
    </xf>
    <xf numFmtId="0" fontId="25" fillId="0" borderId="0" xfId="0" applyFont="1" applyAlignment="1">
      <alignment horizontal="right"/>
    </xf>
    <xf numFmtId="166" fontId="9" fillId="0" borderId="0" xfId="0" applyNumberFormat="1" applyFont="1" applyBorder="1"/>
    <xf numFmtId="15" fontId="13" fillId="0" borderId="0" xfId="0" applyNumberFormat="1" applyFont="1"/>
    <xf numFmtId="0" fontId="98" fillId="0" borderId="0" xfId="3" applyFont="1" applyAlignment="1" applyProtection="1"/>
    <xf numFmtId="166" fontId="8" fillId="5" borderId="53" xfId="0" applyNumberFormat="1" applyFont="1" applyFill="1" applyBorder="1" applyAlignment="1">
      <alignment horizontal="right" vertical="center" wrapText="1" indent="1"/>
    </xf>
    <xf numFmtId="174" fontId="0" fillId="5" borderId="5" xfId="2" applyNumberFormat="1" applyFont="1" applyFill="1" applyBorder="1" applyAlignment="1">
      <alignment horizontal="right" vertical="center" wrapText="1" indent="1"/>
    </xf>
    <xf numFmtId="166" fontId="0" fillId="5" borderId="5" xfId="0" applyNumberFormat="1" applyFill="1" applyBorder="1" applyAlignment="1">
      <alignment horizontal="right" vertical="center" wrapText="1" indent="1"/>
    </xf>
    <xf numFmtId="170" fontId="8" fillId="5" borderId="52" xfId="0" applyNumberFormat="1" applyFont="1" applyFill="1" applyBorder="1" applyAlignment="1">
      <alignment horizontal="right" vertical="center" wrapText="1" indent="1"/>
    </xf>
    <xf numFmtId="165" fontId="8" fillId="5" borderId="54" xfId="0" applyNumberFormat="1" applyFont="1" applyFill="1" applyBorder="1" applyAlignment="1">
      <alignment horizontal="right" vertical="center" wrapText="1" indent="1"/>
    </xf>
    <xf numFmtId="1" fontId="8" fillId="5" borderId="0" xfId="0" applyNumberFormat="1" applyFont="1" applyFill="1" applyBorder="1" applyAlignment="1">
      <alignment horizontal="right" vertical="center" wrapText="1" indent="1"/>
    </xf>
    <xf numFmtId="174" fontId="0" fillId="5" borderId="0" xfId="2" applyNumberFormat="1" applyFont="1" applyFill="1" applyBorder="1" applyAlignment="1">
      <alignment horizontal="right" vertical="center" wrapText="1" indent="1"/>
    </xf>
    <xf numFmtId="166" fontId="0" fillId="5" borderId="0" xfId="0" applyNumberFormat="1" applyFill="1" applyBorder="1" applyAlignment="1">
      <alignment horizontal="right" vertical="center" wrapText="1" indent="1"/>
    </xf>
    <xf numFmtId="2" fontId="8" fillId="5" borderId="0" xfId="0" applyNumberFormat="1" applyFont="1" applyFill="1" applyBorder="1" applyAlignment="1">
      <alignment horizontal="right" vertical="center" wrapText="1" indent="1"/>
    </xf>
    <xf numFmtId="166" fontId="8" fillId="5" borderId="54" xfId="0" applyNumberFormat="1" applyFont="1" applyFill="1" applyBorder="1" applyAlignment="1">
      <alignment horizontal="right" vertical="center" wrapText="1" indent="1"/>
    </xf>
    <xf numFmtId="0" fontId="8" fillId="5" borderId="45" xfId="0" applyFont="1" applyFill="1" applyBorder="1" applyAlignment="1">
      <alignment horizontal="left" wrapText="1" indent="1"/>
    </xf>
    <xf numFmtId="0" fontId="8" fillId="5" borderId="56" xfId="0" applyFont="1" applyFill="1" applyBorder="1" applyAlignment="1">
      <alignment horizontal="left" wrapText="1" indent="1"/>
    </xf>
    <xf numFmtId="0" fontId="13" fillId="0" borderId="0" xfId="0" applyFont="1" applyAlignment="1">
      <alignment horizontal="left" indent="1"/>
    </xf>
    <xf numFmtId="0" fontId="23" fillId="0" borderId="0" xfId="0" applyFont="1" applyFill="1" applyAlignment="1">
      <alignment horizontal="left" indent="1"/>
    </xf>
    <xf numFmtId="0" fontId="13" fillId="0" borderId="0" xfId="0" applyFont="1" applyFill="1" applyAlignment="1">
      <alignment horizontal="left" indent="1"/>
    </xf>
    <xf numFmtId="0" fontId="100" fillId="0" borderId="0" xfId="0" applyFont="1"/>
    <xf numFmtId="0" fontId="101" fillId="0" borderId="0" xfId="0" applyFont="1"/>
    <xf numFmtId="0" fontId="47" fillId="0" borderId="0" xfId="0" applyFont="1" applyAlignment="1">
      <alignment horizontal="left" indent="1"/>
    </xf>
    <xf numFmtId="0" fontId="13" fillId="5" borderId="58" xfId="0" applyFont="1" applyFill="1" applyBorder="1"/>
    <xf numFmtId="0" fontId="13" fillId="5" borderId="58" xfId="0" applyFont="1" applyFill="1" applyBorder="1" applyAlignment="1">
      <alignment horizontal="right"/>
    </xf>
    <xf numFmtId="0" fontId="13" fillId="5" borderId="58" xfId="0" applyFont="1" applyFill="1" applyBorder="1" applyAlignment="1">
      <alignment horizontal="right" indent="1"/>
    </xf>
    <xf numFmtId="0" fontId="13" fillId="5" borderId="65" xfId="0" applyFont="1" applyFill="1" applyBorder="1" applyAlignment="1">
      <alignment horizontal="right" indent="1"/>
    </xf>
    <xf numFmtId="0" fontId="13" fillId="5" borderId="64" xfId="0" applyFont="1" applyFill="1" applyBorder="1" applyAlignment="1">
      <alignment horizontal="right" indent="1"/>
    </xf>
    <xf numFmtId="9" fontId="9" fillId="5" borderId="65" xfId="0" applyNumberFormat="1" applyFont="1" applyFill="1" applyBorder="1" applyAlignment="1">
      <alignment horizontal="right" indent="1"/>
    </xf>
    <xf numFmtId="9" fontId="9" fillId="5" borderId="58" xfId="0" applyNumberFormat="1" applyFont="1" applyFill="1" applyBorder="1" applyAlignment="1">
      <alignment horizontal="right" indent="1"/>
    </xf>
    <xf numFmtId="0" fontId="13" fillId="5" borderId="51" xfId="0" applyFont="1" applyFill="1" applyBorder="1"/>
    <xf numFmtId="0" fontId="13" fillId="5" borderId="51" xfId="0" applyFont="1" applyFill="1" applyBorder="1" applyAlignment="1">
      <alignment horizontal="right"/>
    </xf>
    <xf numFmtId="0" fontId="13" fillId="5" borderId="51" xfId="0" applyFont="1" applyFill="1" applyBorder="1" applyAlignment="1">
      <alignment horizontal="right" indent="1"/>
    </xf>
    <xf numFmtId="0" fontId="9" fillId="5" borderId="48" xfId="0" applyFont="1" applyFill="1" applyBorder="1" applyAlignment="1">
      <alignment horizontal="right" indent="1"/>
    </xf>
    <xf numFmtId="0" fontId="9" fillId="5" borderId="50" xfId="0" applyFont="1" applyFill="1" applyBorder="1" applyAlignment="1">
      <alignment horizontal="right" indent="1"/>
    </xf>
    <xf numFmtId="0" fontId="9" fillId="5" borderId="51" xfId="0" applyFont="1" applyFill="1" applyBorder="1" applyAlignment="1">
      <alignment horizontal="right" indent="1"/>
    </xf>
    <xf numFmtId="0" fontId="0" fillId="5" borderId="58" xfId="0" applyFont="1" applyFill="1" applyBorder="1" applyAlignment="1">
      <alignment horizontal="right"/>
    </xf>
    <xf numFmtId="0" fontId="0" fillId="5" borderId="58" xfId="0" applyFont="1" applyFill="1" applyBorder="1" applyAlignment="1">
      <alignment horizontal="right" indent="1"/>
    </xf>
    <xf numFmtId="0" fontId="102" fillId="5" borderId="55" xfId="0" applyFont="1" applyFill="1" applyBorder="1" applyAlignment="1">
      <alignment horizontal="right" indent="1"/>
    </xf>
    <xf numFmtId="0" fontId="102" fillId="5" borderId="57" xfId="0" applyFont="1" applyFill="1" applyBorder="1" applyAlignment="1">
      <alignment horizontal="right" indent="1"/>
    </xf>
    <xf numFmtId="0" fontId="102" fillId="5" borderId="58" xfId="0" applyFont="1" applyFill="1" applyBorder="1" applyAlignment="1">
      <alignment horizontal="right" indent="1"/>
    </xf>
    <xf numFmtId="1" fontId="0" fillId="0" borderId="52" xfId="0" applyNumberFormat="1" applyFont="1" applyBorder="1" applyAlignment="1">
      <alignment horizontal="right" indent="1"/>
    </xf>
    <xf numFmtId="1" fontId="4" fillId="0" borderId="52" xfId="2" applyNumberFormat="1" applyFont="1" applyBorder="1" applyAlignment="1">
      <alignment horizontal="right" indent="2"/>
    </xf>
    <xf numFmtId="1" fontId="4" fillId="0" borderId="54" xfId="2" applyNumberFormat="1" applyFont="1" applyBorder="1" applyAlignment="1">
      <alignment horizontal="right" indent="2"/>
    </xf>
    <xf numFmtId="1" fontId="0" fillId="0" borderId="55" xfId="0" applyNumberFormat="1" applyFont="1" applyBorder="1" applyAlignment="1">
      <alignment horizontal="right" indent="1"/>
    </xf>
    <xf numFmtId="1" fontId="4" fillId="0" borderId="55" xfId="2" applyNumberFormat="1" applyFont="1" applyBorder="1" applyAlignment="1">
      <alignment horizontal="right" indent="2"/>
    </xf>
    <xf numFmtId="1" fontId="4" fillId="0" borderId="57" xfId="2" applyNumberFormat="1" applyFont="1" applyBorder="1" applyAlignment="1">
      <alignment horizontal="right" indent="2"/>
    </xf>
    <xf numFmtId="0" fontId="13" fillId="0" borderId="1" xfId="0" applyFont="1" applyBorder="1" applyAlignment="1">
      <alignment horizontal="right" indent="1"/>
    </xf>
    <xf numFmtId="0" fontId="32" fillId="0" borderId="1" xfId="0" applyFont="1" applyBorder="1" applyAlignment="1">
      <alignment horizontal="right" indent="1"/>
    </xf>
    <xf numFmtId="0" fontId="37" fillId="2" borderId="48" xfId="0" applyFont="1" applyFill="1" applyBorder="1" applyAlignment="1">
      <alignment horizontal="center" vertical="center" wrapText="1"/>
    </xf>
    <xf numFmtId="0" fontId="13" fillId="2" borderId="48" xfId="0" applyFont="1" applyFill="1" applyBorder="1" applyAlignment="1">
      <alignment horizontal="center" vertical="center" wrapText="1"/>
    </xf>
    <xf numFmtId="0" fontId="13" fillId="2" borderId="50" xfId="0" applyFont="1" applyFill="1" applyBorder="1" applyAlignment="1">
      <alignment horizontal="center" vertical="center" wrapText="1"/>
    </xf>
    <xf numFmtId="0" fontId="13" fillId="0" borderId="0" xfId="0" applyFont="1" applyBorder="1" applyAlignment="1">
      <alignment horizontal="right" indent="1"/>
    </xf>
    <xf numFmtId="170" fontId="32" fillId="0" borderId="0" xfId="0" applyNumberFormat="1" applyFont="1" applyBorder="1" applyAlignment="1">
      <alignment horizontal="right" indent="1"/>
    </xf>
    <xf numFmtId="0" fontId="32" fillId="0" borderId="0" xfId="0" applyFont="1" applyBorder="1" applyAlignment="1">
      <alignment horizontal="right" indent="1"/>
    </xf>
    <xf numFmtId="170" fontId="13" fillId="0" borderId="0" xfId="0" applyNumberFormat="1" applyFont="1" applyBorder="1" applyAlignment="1">
      <alignment horizontal="right" indent="1"/>
    </xf>
    <xf numFmtId="0" fontId="13" fillId="0" borderId="0" xfId="0" applyFont="1" applyFill="1" applyBorder="1" applyAlignment="1">
      <alignment horizontal="right" indent="1"/>
    </xf>
    <xf numFmtId="170" fontId="32" fillId="0" borderId="0" xfId="0" applyNumberFormat="1" applyFont="1" applyFill="1" applyBorder="1" applyAlignment="1">
      <alignment horizontal="right" indent="1"/>
    </xf>
    <xf numFmtId="0" fontId="32" fillId="0" borderId="0" xfId="0" applyFont="1" applyFill="1" applyBorder="1" applyAlignment="1">
      <alignment horizontal="right" indent="1"/>
    </xf>
    <xf numFmtId="0" fontId="13" fillId="2" borderId="48" xfId="0" applyFont="1" applyFill="1" applyBorder="1"/>
    <xf numFmtId="0" fontId="13" fillId="2" borderId="50" xfId="0" applyFont="1" applyFill="1" applyBorder="1" applyAlignment="1">
      <alignment horizontal="left" vertical="center" wrapText="1" indent="1"/>
    </xf>
    <xf numFmtId="0" fontId="37" fillId="0" borderId="52" xfId="0" applyFont="1" applyBorder="1" applyAlignment="1">
      <alignment horizontal="right" indent="1"/>
    </xf>
    <xf numFmtId="0" fontId="37" fillId="0" borderId="55" xfId="0" applyFont="1" applyBorder="1" applyAlignment="1">
      <alignment horizontal="right" indent="1"/>
    </xf>
    <xf numFmtId="0" fontId="32" fillId="0" borderId="58" xfId="0" applyFont="1" applyFill="1" applyBorder="1" applyAlignment="1">
      <alignment horizontal="right" indent="1"/>
    </xf>
    <xf numFmtId="0" fontId="37" fillId="0" borderId="48" xfId="0" applyFont="1" applyBorder="1" applyAlignment="1">
      <alignment horizontal="right" indent="1"/>
    </xf>
    <xf numFmtId="0" fontId="13" fillId="0" borderId="51" xfId="0" applyFont="1" applyBorder="1" applyAlignment="1">
      <alignment horizontal="right" indent="1"/>
    </xf>
    <xf numFmtId="0" fontId="37" fillId="2" borderId="50" xfId="0" applyFont="1" applyFill="1" applyBorder="1" applyAlignment="1">
      <alignment horizontal="center" vertical="center" wrapText="1"/>
    </xf>
    <xf numFmtId="1" fontId="0" fillId="0" borderId="48" xfId="0" applyNumberFormat="1" applyFont="1" applyBorder="1" applyAlignment="1">
      <alignment horizontal="right" indent="1"/>
    </xf>
    <xf numFmtId="1" fontId="0" fillId="0" borderId="50" xfId="0" applyNumberFormat="1" applyFont="1" applyBorder="1" applyAlignment="1">
      <alignment horizontal="right" indent="1"/>
    </xf>
    <xf numFmtId="1" fontId="0" fillId="0" borderId="54" xfId="0" applyNumberFormat="1" applyFont="1" applyBorder="1" applyAlignment="1">
      <alignment horizontal="right" indent="1"/>
    </xf>
    <xf numFmtId="1" fontId="0" fillId="0" borderId="57" xfId="0" applyNumberFormat="1" applyFont="1" applyBorder="1" applyAlignment="1">
      <alignment horizontal="right" indent="1"/>
    </xf>
    <xf numFmtId="1" fontId="4" fillId="0" borderId="48" xfId="2" applyNumberFormat="1" applyFont="1" applyBorder="1" applyAlignment="1">
      <alignment horizontal="right" indent="2"/>
    </xf>
    <xf numFmtId="1" fontId="4" fillId="0" borderId="50" xfId="2" applyNumberFormat="1" applyFont="1" applyBorder="1" applyAlignment="1">
      <alignment horizontal="right" indent="2"/>
    </xf>
    <xf numFmtId="0" fontId="13" fillId="2" borderId="51" xfId="0" applyFont="1" applyFill="1" applyBorder="1" applyAlignment="1">
      <alignment vertical="center" wrapText="1"/>
    </xf>
    <xf numFmtId="0" fontId="13" fillId="0" borderId="1" xfId="0" applyFont="1" applyBorder="1" applyAlignment="1">
      <alignment horizontal="center" vertical="center" wrapText="1"/>
    </xf>
    <xf numFmtId="0" fontId="37" fillId="0" borderId="1" xfId="0" applyFont="1" applyBorder="1" applyAlignment="1">
      <alignment horizontal="center" vertical="center" wrapText="1"/>
    </xf>
    <xf numFmtId="170" fontId="0" fillId="0" borderId="48" xfId="0" applyNumberFormat="1" applyFont="1" applyBorder="1" applyAlignment="1">
      <alignment horizontal="right" indent="1"/>
    </xf>
    <xf numFmtId="170" fontId="0" fillId="0" borderId="52" xfId="0" applyNumberFormat="1" applyFont="1" applyBorder="1" applyAlignment="1">
      <alignment horizontal="right" indent="1"/>
    </xf>
    <xf numFmtId="170" fontId="0" fillId="0" borderId="55" xfId="0" applyNumberFormat="1" applyFont="1" applyBorder="1" applyAlignment="1">
      <alignment horizontal="right" indent="1"/>
    </xf>
    <xf numFmtId="0" fontId="13" fillId="5" borderId="55" xfId="0" applyFont="1" applyFill="1" applyBorder="1"/>
    <xf numFmtId="9" fontId="0" fillId="5" borderId="57" xfId="0" applyNumberFormat="1" applyFont="1" applyFill="1" applyBorder="1" applyAlignment="1">
      <alignment horizontal="right" indent="1"/>
    </xf>
    <xf numFmtId="0" fontId="13" fillId="5" borderId="52" xfId="0" applyFont="1" applyFill="1" applyBorder="1"/>
    <xf numFmtId="0" fontId="13" fillId="5" borderId="54" xfId="0" applyFont="1" applyFill="1" applyBorder="1" applyAlignment="1">
      <alignment horizontal="right" indent="1"/>
    </xf>
    <xf numFmtId="0" fontId="13" fillId="5" borderId="57" xfId="0" applyFont="1" applyFill="1" applyBorder="1" applyAlignment="1">
      <alignment horizontal="right" indent="1"/>
    </xf>
    <xf numFmtId="0" fontId="13" fillId="5" borderId="48" xfId="0" applyFont="1" applyFill="1" applyBorder="1"/>
    <xf numFmtId="166" fontId="0" fillId="0" borderId="50" xfId="0" applyNumberFormat="1" applyFont="1" applyBorder="1" applyAlignment="1">
      <alignment horizontal="right" indent="1"/>
    </xf>
    <xf numFmtId="166" fontId="0" fillId="0" borderId="54" xfId="0" applyNumberFormat="1" applyFont="1" applyBorder="1" applyAlignment="1">
      <alignment horizontal="right" indent="1"/>
    </xf>
    <xf numFmtId="166" fontId="0" fillId="0" borderId="57" xfId="0" applyNumberFormat="1" applyFont="1" applyBorder="1" applyAlignment="1">
      <alignment horizontal="right" indent="1"/>
    </xf>
    <xf numFmtId="2" fontId="9" fillId="5" borderId="50" xfId="0" applyNumberFormat="1" applyFont="1" applyFill="1" applyBorder="1" applyAlignment="1">
      <alignment horizontal="right" indent="1"/>
    </xf>
    <xf numFmtId="165" fontId="13" fillId="0" borderId="45" xfId="0" applyNumberFormat="1" applyFont="1" applyBorder="1" applyAlignment="1">
      <alignment horizontal="right" wrapText="1"/>
    </xf>
    <xf numFmtId="166" fontId="13" fillId="0" borderId="45" xfId="0" applyNumberFormat="1" applyFont="1" applyBorder="1" applyAlignment="1">
      <alignment horizontal="right" wrapText="1"/>
    </xf>
    <xf numFmtId="0" fontId="0" fillId="0" borderId="0" xfId="0" applyFont="1" applyFill="1"/>
    <xf numFmtId="9" fontId="96" fillId="15" borderId="0" xfId="2" applyFont="1" applyFill="1" applyAlignment="1">
      <alignment horizontal="center"/>
    </xf>
    <xf numFmtId="0" fontId="0" fillId="0" borderId="52" xfId="0" applyFill="1" applyBorder="1"/>
    <xf numFmtId="0" fontId="0" fillId="0" borderId="54" xfId="0" applyFill="1" applyBorder="1"/>
    <xf numFmtId="0" fontId="0" fillId="0" borderId="58" xfId="0" applyFill="1" applyBorder="1"/>
    <xf numFmtId="0" fontId="0" fillId="0" borderId="57" xfId="0" applyFill="1" applyBorder="1"/>
    <xf numFmtId="0" fontId="40" fillId="0" borderId="0" xfId="0" applyFont="1" applyAlignment="1">
      <alignment horizontal="left" indent="1"/>
    </xf>
    <xf numFmtId="0" fontId="0" fillId="0" borderId="52" xfId="0" applyFill="1" applyBorder="1" applyAlignment="1">
      <alignment horizontal="right" indent="1"/>
    </xf>
    <xf numFmtId="0" fontId="0" fillId="0" borderId="67" xfId="0" applyFill="1" applyBorder="1" applyAlignment="1">
      <alignment horizontal="right" indent="1"/>
    </xf>
    <xf numFmtId="0" fontId="0" fillId="0" borderId="55" xfId="0" applyFill="1" applyBorder="1" applyAlignment="1">
      <alignment horizontal="right" indent="1"/>
    </xf>
    <xf numFmtId="0" fontId="0" fillId="0" borderId="0" xfId="0" applyFill="1" applyBorder="1" applyAlignment="1">
      <alignment horizontal="right" indent="1"/>
    </xf>
    <xf numFmtId="0" fontId="0" fillId="0" borderId="8" xfId="0" applyFill="1" applyBorder="1" applyAlignment="1">
      <alignment horizontal="right" indent="1"/>
    </xf>
    <xf numFmtId="0" fontId="0" fillId="0" borderId="58" xfId="0" applyFill="1" applyBorder="1" applyAlignment="1">
      <alignment horizontal="right" indent="1"/>
    </xf>
    <xf numFmtId="0" fontId="1" fillId="2" borderId="1" xfId="0" applyFont="1" applyFill="1" applyBorder="1" applyAlignment="1">
      <alignment horizontal="right" vertical="center"/>
    </xf>
    <xf numFmtId="0" fontId="0" fillId="2" borderId="1" xfId="0" applyFill="1" applyBorder="1" applyAlignment="1">
      <alignment vertical="center" wrapText="1"/>
    </xf>
    <xf numFmtId="0" fontId="37" fillId="2" borderId="1" xfId="0" applyFont="1" applyFill="1" applyBorder="1" applyAlignment="1">
      <alignment horizontal="center" vertical="center" wrapText="1"/>
    </xf>
    <xf numFmtId="0" fontId="0" fillId="0" borderId="54" xfId="0" applyBorder="1"/>
    <xf numFmtId="0" fontId="32" fillId="0" borderId="52" xfId="0" applyFont="1" applyBorder="1"/>
    <xf numFmtId="0" fontId="32" fillId="0" borderId="54" xfId="0" applyFont="1" applyBorder="1"/>
    <xf numFmtId="0" fontId="32" fillId="0" borderId="55" xfId="0" applyFont="1" applyBorder="1"/>
    <xf numFmtId="0" fontId="32" fillId="0" borderId="58" xfId="0" applyFont="1" applyBorder="1"/>
    <xf numFmtId="0" fontId="32" fillId="0" borderId="57" xfId="0" applyFont="1" applyBorder="1"/>
    <xf numFmtId="0" fontId="0" fillId="2" borderId="44" xfId="0" applyFill="1" applyBorder="1" applyAlignment="1">
      <alignment horizontal="center" vertical="center" wrapText="1"/>
    </xf>
    <xf numFmtId="0" fontId="0" fillId="2" borderId="47" xfId="0" applyFill="1" applyBorder="1" applyAlignment="1">
      <alignment horizontal="center" vertical="center" wrapText="1"/>
    </xf>
    <xf numFmtId="0" fontId="0" fillId="2" borderId="46" xfId="0" applyFill="1" applyBorder="1" applyAlignment="1">
      <alignment horizontal="center" vertical="center" wrapText="1"/>
    </xf>
    <xf numFmtId="0" fontId="63" fillId="0" borderId="0" xfId="0" applyFont="1" applyAlignment="1">
      <alignment horizontal="left" indent="1"/>
    </xf>
    <xf numFmtId="0" fontId="40" fillId="0" borderId="0" xfId="0" applyFont="1" applyFill="1" applyBorder="1" applyAlignment="1">
      <alignment vertical="center" wrapText="1"/>
    </xf>
    <xf numFmtId="0" fontId="0" fillId="0" borderId="1" xfId="0" applyFont="1" applyFill="1" applyBorder="1" applyAlignment="1">
      <alignment horizontal="right" indent="1"/>
    </xf>
    <xf numFmtId="0" fontId="0" fillId="0" borderId="1" xfId="0" applyFill="1" applyBorder="1" applyAlignment="1">
      <alignment horizontal="right" wrapText="1" indent="1"/>
    </xf>
    <xf numFmtId="164" fontId="0" fillId="0" borderId="1" xfId="1" applyNumberFormat="1" applyFont="1" applyBorder="1" applyAlignment="1">
      <alignment horizontal="right" indent="1"/>
    </xf>
    <xf numFmtId="164" fontId="0" fillId="0" borderId="2" xfId="1" applyNumberFormat="1" applyFont="1" applyBorder="1" applyAlignment="1">
      <alignment horizontal="right" indent="1"/>
    </xf>
    <xf numFmtId="1" fontId="0" fillId="0" borderId="1" xfId="0" applyNumberFormat="1" applyBorder="1" applyAlignment="1">
      <alignment horizontal="right" indent="1"/>
    </xf>
    <xf numFmtId="1" fontId="13" fillId="0" borderId="1" xfId="0" applyNumberFormat="1" applyFont="1" applyBorder="1" applyAlignment="1">
      <alignment horizontal="right" indent="1"/>
    </xf>
    <xf numFmtId="1" fontId="32" fillId="0" borderId="1" xfId="0" applyNumberFormat="1" applyFont="1" applyBorder="1" applyAlignment="1">
      <alignment horizontal="right" indent="1"/>
    </xf>
    <xf numFmtId="0" fontId="104" fillId="0" borderId="0" xfId="0" applyFont="1" applyFill="1" applyBorder="1"/>
    <xf numFmtId="0" fontId="13" fillId="2" borderId="51" xfId="0" applyFont="1" applyFill="1" applyBorder="1"/>
    <xf numFmtId="0" fontId="37" fillId="2" borderId="66" xfId="0" applyFont="1" applyFill="1" applyBorder="1" applyAlignment="1">
      <alignment horizontal="center"/>
    </xf>
    <xf numFmtId="0" fontId="37" fillId="2" borderId="63" xfId="0" applyFont="1" applyFill="1" applyBorder="1" applyAlignment="1">
      <alignment horizontal="center"/>
    </xf>
    <xf numFmtId="0" fontId="37" fillId="2" borderId="51" xfId="0" applyFont="1" applyFill="1" applyBorder="1" applyAlignment="1">
      <alignment horizontal="center"/>
    </xf>
    <xf numFmtId="0" fontId="37" fillId="2" borderId="50" xfId="0" applyFont="1" applyFill="1" applyBorder="1" applyAlignment="1">
      <alignment horizontal="center"/>
    </xf>
    <xf numFmtId="164" fontId="8" fillId="0" borderId="0" xfId="1" quotePrefix="1" applyNumberFormat="1" applyFont="1" applyFill="1"/>
    <xf numFmtId="164" fontId="3" fillId="0" borderId="71" xfId="1" applyNumberFormat="1" applyFont="1" applyBorder="1" applyAlignment="1">
      <alignment horizontal="center" textRotation="45"/>
    </xf>
    <xf numFmtId="164" fontId="23" fillId="0" borderId="70" xfId="0" applyNumberFormat="1" applyFont="1" applyBorder="1" applyAlignment="1">
      <alignment horizontal="center" textRotation="45"/>
    </xf>
    <xf numFmtId="164" fontId="23" fillId="2" borderId="13" xfId="1" applyNumberFormat="1" applyFont="1" applyFill="1" applyBorder="1" applyAlignment="1">
      <alignment horizontal="center"/>
    </xf>
    <xf numFmtId="164" fontId="23" fillId="2" borderId="71" xfId="1" applyNumberFormat="1" applyFont="1" applyFill="1" applyBorder="1" applyAlignment="1">
      <alignment horizontal="center"/>
    </xf>
    <xf numFmtId="166" fontId="8" fillId="0" borderId="52" xfId="1" applyNumberFormat="1" applyFont="1" applyBorder="1"/>
    <xf numFmtId="166" fontId="23" fillId="0" borderId="52" xfId="1" applyNumberFormat="1" applyFont="1" applyFill="1" applyBorder="1"/>
    <xf numFmtId="166" fontId="8" fillId="0" borderId="52" xfId="1" applyNumberFormat="1" applyFont="1" applyFill="1" applyBorder="1"/>
    <xf numFmtId="164" fontId="23" fillId="0" borderId="52" xfId="1" applyNumberFormat="1" applyFont="1" applyBorder="1" applyAlignment="1">
      <alignment vertical="center"/>
    </xf>
    <xf numFmtId="164" fontId="23" fillId="0" borderId="52" xfId="1" applyNumberFormat="1" applyFont="1" applyFill="1" applyBorder="1" applyAlignment="1">
      <alignment vertical="center"/>
    </xf>
    <xf numFmtId="164" fontId="23" fillId="0" borderId="52" xfId="1" applyNumberFormat="1" applyFont="1" applyFill="1" applyBorder="1"/>
    <xf numFmtId="164" fontId="23" fillId="0" borderId="69" xfId="1" applyNumberFormat="1" applyFont="1" applyFill="1" applyBorder="1"/>
    <xf numFmtId="5" fontId="23" fillId="11" borderId="70" xfId="0" applyNumberFormat="1" applyFont="1" applyFill="1" applyBorder="1"/>
    <xf numFmtId="5" fontId="23" fillId="11" borderId="71" xfId="0" applyNumberFormat="1" applyFont="1" applyFill="1" applyBorder="1"/>
    <xf numFmtId="164" fontId="23" fillId="2" borderId="70" xfId="1" applyNumberFormat="1" applyFont="1" applyFill="1" applyBorder="1" applyAlignment="1">
      <alignment horizontal="center"/>
    </xf>
    <xf numFmtId="166" fontId="4" fillId="0" borderId="72" xfId="0" applyNumberFormat="1" applyFont="1" applyBorder="1"/>
    <xf numFmtId="166" fontId="4" fillId="0" borderId="73" xfId="0" applyNumberFormat="1" applyFont="1" applyBorder="1"/>
    <xf numFmtId="166" fontId="13" fillId="0" borderId="73" xfId="0" applyNumberFormat="1" applyFont="1" applyFill="1" applyBorder="1"/>
    <xf numFmtId="166" fontId="4" fillId="0" borderId="73" xfId="0" applyNumberFormat="1" applyFont="1" applyFill="1" applyBorder="1"/>
    <xf numFmtId="166" fontId="0" fillId="0" borderId="73" xfId="0" applyNumberFormat="1" applyFont="1" applyBorder="1"/>
    <xf numFmtId="166" fontId="0" fillId="0" borderId="73" xfId="0" applyNumberFormat="1" applyFont="1" applyBorder="1" applyAlignment="1">
      <alignment vertical="center"/>
    </xf>
    <xf numFmtId="166" fontId="8" fillId="0" borderId="73" xfId="0" applyNumberFormat="1" applyFont="1" applyFill="1" applyBorder="1"/>
    <xf numFmtId="164" fontId="24" fillId="0" borderId="73" xfId="0" applyNumberFormat="1" applyFont="1" applyFill="1" applyBorder="1" applyAlignment="1">
      <alignment vertical="center"/>
    </xf>
    <xf numFmtId="166" fontId="23" fillId="0" borderId="73" xfId="0" applyNumberFormat="1" applyFont="1" applyFill="1" applyBorder="1"/>
    <xf numFmtId="164" fontId="24" fillId="0" borderId="68" xfId="0" applyNumberFormat="1" applyFont="1" applyFill="1" applyBorder="1"/>
    <xf numFmtId="164" fontId="23" fillId="0" borderId="13" xfId="0" applyNumberFormat="1" applyFont="1" applyBorder="1" applyAlignment="1">
      <alignment horizontal="center" textRotation="45"/>
    </xf>
    <xf numFmtId="164" fontId="23" fillId="0" borderId="70" xfId="0" applyNumberFormat="1" applyFont="1" applyFill="1" applyBorder="1" applyAlignment="1">
      <alignment horizontal="center" textRotation="45"/>
    </xf>
    <xf numFmtId="0" fontId="23" fillId="0" borderId="13" xfId="0" applyFont="1" applyBorder="1" applyAlignment="1">
      <alignment horizontal="center" textRotation="45"/>
    </xf>
    <xf numFmtId="0" fontId="23" fillId="0" borderId="70" xfId="0" applyFont="1" applyBorder="1" applyAlignment="1">
      <alignment horizontal="center" textRotation="45"/>
    </xf>
    <xf numFmtId="0" fontId="13" fillId="2" borderId="71" xfId="0" applyFont="1" applyFill="1" applyBorder="1" applyAlignment="1">
      <alignment horizontal="center"/>
    </xf>
    <xf numFmtId="0" fontId="23" fillId="0" borderId="71" xfId="0" applyFont="1" applyBorder="1" applyAlignment="1">
      <alignment horizontal="center" textRotation="45"/>
    </xf>
    <xf numFmtId="1" fontId="4" fillId="0" borderId="52" xfId="0" applyNumberFormat="1" applyFont="1" applyBorder="1"/>
    <xf numFmtId="1" fontId="4" fillId="0" borderId="52" xfId="0" applyNumberFormat="1" applyFont="1" applyFill="1" applyBorder="1"/>
    <xf numFmtId="1" fontId="4" fillId="0" borderId="52" xfId="0" applyNumberFormat="1" applyFont="1" applyFill="1" applyBorder="1" applyAlignment="1">
      <alignment horizontal="right"/>
    </xf>
    <xf numFmtId="0" fontId="4" fillId="0" borderId="52" xfId="0" applyFont="1" applyFill="1" applyBorder="1"/>
    <xf numFmtId="1" fontId="0" fillId="0" borderId="52" xfId="0" applyNumberFormat="1" applyFont="1" applyFill="1" applyBorder="1"/>
    <xf numFmtId="0" fontId="13" fillId="0" borderId="52" xfId="0" applyFont="1" applyBorder="1" applyAlignment="1">
      <alignment vertical="center"/>
    </xf>
    <xf numFmtId="0" fontId="13" fillId="0" borderId="52" xfId="0" applyFont="1" applyBorder="1"/>
    <xf numFmtId="0" fontId="13" fillId="0" borderId="69" xfId="0" applyFont="1" applyBorder="1"/>
    <xf numFmtId="0" fontId="13" fillId="11" borderId="69" xfId="0" applyFont="1" applyFill="1" applyBorder="1"/>
    <xf numFmtId="171" fontId="4" fillId="0" borderId="52" xfId="0" applyNumberFormat="1" applyFont="1" applyBorder="1"/>
    <xf numFmtId="171" fontId="4" fillId="0" borderId="52" xfId="0" applyNumberFormat="1" applyFont="1" applyFill="1" applyBorder="1"/>
    <xf numFmtId="171" fontId="0" fillId="0" borderId="52" xfId="0" applyNumberFormat="1" applyFont="1" applyBorder="1"/>
    <xf numFmtId="43" fontId="0" fillId="0" borderId="52" xfId="0" applyNumberFormat="1" applyFont="1" applyBorder="1" applyAlignment="1">
      <alignment vertical="center"/>
    </xf>
    <xf numFmtId="171" fontId="13" fillId="0" borderId="52" xfId="0" applyNumberFormat="1" applyFont="1" applyBorder="1"/>
    <xf numFmtId="171" fontId="13" fillId="11" borderId="69" xfId="0" applyNumberFormat="1" applyFont="1" applyFill="1" applyBorder="1"/>
    <xf numFmtId="0" fontId="13" fillId="2" borderId="70" xfId="0" applyFont="1" applyFill="1" applyBorder="1" applyAlignment="1">
      <alignment horizontal="center"/>
    </xf>
    <xf numFmtId="0" fontId="13" fillId="0" borderId="73" xfId="0" applyFont="1" applyBorder="1" applyAlignment="1">
      <alignment vertical="center"/>
    </xf>
    <xf numFmtId="166" fontId="13" fillId="0" borderId="73" xfId="0" applyNumberFormat="1" applyFont="1" applyBorder="1"/>
    <xf numFmtId="0" fontId="13" fillId="0" borderId="68" xfId="0" applyFont="1" applyBorder="1"/>
    <xf numFmtId="0" fontId="70" fillId="0" borderId="0" xfId="0" applyFont="1" applyBorder="1" applyAlignment="1">
      <alignment horizontal="left" textRotation="45" wrapText="1"/>
    </xf>
    <xf numFmtId="5" fontId="23" fillId="11" borderId="71" xfId="0" applyNumberFormat="1" applyFont="1" applyFill="1" applyBorder="1" applyAlignment="1">
      <alignment horizontal="right" indent="1"/>
    </xf>
    <xf numFmtId="9" fontId="23" fillId="11" borderId="71" xfId="0" applyNumberFormat="1" applyFont="1" applyFill="1" applyBorder="1" applyAlignment="1">
      <alignment horizontal="right" indent="1"/>
    </xf>
    <xf numFmtId="5" fontId="23" fillId="11" borderId="70" xfId="0" applyNumberFormat="1" applyFont="1" applyFill="1" applyBorder="1" applyAlignment="1">
      <alignment horizontal="right" indent="1"/>
    </xf>
    <xf numFmtId="1" fontId="23" fillId="2" borderId="13" xfId="1" applyNumberFormat="1" applyFont="1" applyFill="1" applyBorder="1" applyAlignment="1">
      <alignment horizontal="center"/>
    </xf>
    <xf numFmtId="1" fontId="8" fillId="0" borderId="18" xfId="2" applyNumberFormat="1" applyFont="1" applyBorder="1"/>
    <xf numFmtId="1" fontId="23" fillId="0" borderId="18" xfId="2" applyNumberFormat="1" applyFont="1" applyFill="1" applyBorder="1"/>
    <xf numFmtId="1" fontId="8" fillId="0" borderId="18" xfId="2" applyNumberFormat="1" applyFont="1" applyFill="1" applyBorder="1"/>
    <xf numFmtId="1" fontId="23" fillId="0" borderId="18" xfId="2" applyNumberFormat="1" applyFont="1" applyBorder="1" applyAlignment="1">
      <alignment vertical="center"/>
    </xf>
    <xf numFmtId="1" fontId="23" fillId="0" borderId="18" xfId="2" applyNumberFormat="1" applyFont="1" applyBorder="1"/>
    <xf numFmtId="1" fontId="23" fillId="0" borderId="19" xfId="2" applyNumberFormat="1" applyFont="1" applyBorder="1"/>
    <xf numFmtId="1" fontId="23" fillId="11" borderId="13" xfId="2" applyNumberFormat="1" applyFont="1" applyFill="1" applyBorder="1"/>
    <xf numFmtId="164" fontId="8" fillId="0" borderId="69" xfId="0" applyNumberFormat="1" applyFont="1" applyBorder="1" applyAlignment="1">
      <alignment horizontal="center" textRotation="45"/>
    </xf>
    <xf numFmtId="164" fontId="8" fillId="0" borderId="68" xfId="0" applyNumberFormat="1" applyFont="1" applyBorder="1" applyAlignment="1">
      <alignment horizontal="center" textRotation="45"/>
    </xf>
    <xf numFmtId="0" fontId="0" fillId="2" borderId="71" xfId="0" applyFont="1" applyFill="1" applyBorder="1" applyAlignment="1">
      <alignment horizontal="center"/>
    </xf>
    <xf numFmtId="0" fontId="0" fillId="2" borderId="70" xfId="0" applyFont="1" applyFill="1" applyBorder="1" applyAlignment="1">
      <alignment horizontal="center"/>
    </xf>
    <xf numFmtId="166" fontId="0" fillId="0" borderId="52" xfId="0" applyNumberFormat="1" applyFont="1" applyFill="1" applyBorder="1" applyAlignment="1">
      <alignment horizontal="right" indent="1"/>
    </xf>
    <xf numFmtId="9" fontId="0" fillId="0" borderId="52" xfId="0" applyNumberFormat="1" applyFont="1" applyFill="1" applyBorder="1" applyAlignment="1">
      <alignment horizontal="right" indent="1"/>
    </xf>
    <xf numFmtId="166" fontId="0" fillId="0" borderId="72" xfId="0" applyNumberFormat="1" applyFont="1" applyFill="1" applyBorder="1" applyAlignment="1">
      <alignment horizontal="right" indent="1"/>
    </xf>
    <xf numFmtId="166" fontId="0" fillId="0" borderId="73" xfId="0" applyNumberFormat="1" applyFont="1" applyFill="1" applyBorder="1" applyAlignment="1">
      <alignment horizontal="right" indent="1"/>
    </xf>
    <xf numFmtId="0" fontId="0" fillId="0" borderId="52" xfId="0" applyFont="1" applyBorder="1" applyAlignment="1">
      <alignment horizontal="right" indent="1"/>
    </xf>
    <xf numFmtId="9" fontId="0" fillId="0" borderId="52" xfId="0" applyNumberFormat="1" applyFont="1" applyBorder="1" applyAlignment="1">
      <alignment horizontal="right" indent="1"/>
    </xf>
    <xf numFmtId="166" fontId="0" fillId="0" borderId="73" xfId="0" applyNumberFormat="1" applyFont="1" applyBorder="1" applyAlignment="1">
      <alignment horizontal="right" indent="1"/>
    </xf>
    <xf numFmtId="166" fontId="63" fillId="0" borderId="52" xfId="0" applyNumberFormat="1" applyFont="1" applyBorder="1" applyAlignment="1">
      <alignment horizontal="right" vertical="center" indent="1"/>
    </xf>
    <xf numFmtId="9" fontId="63" fillId="0" borderId="52" xfId="0" applyNumberFormat="1" applyFont="1" applyBorder="1" applyAlignment="1">
      <alignment horizontal="right" vertical="center" indent="1"/>
    </xf>
    <xf numFmtId="166" fontId="63" fillId="0" borderId="73" xfId="0" applyNumberFormat="1" applyFont="1" applyBorder="1" applyAlignment="1">
      <alignment horizontal="right" vertical="center" indent="1"/>
    </xf>
    <xf numFmtId="166" fontId="63" fillId="0" borderId="52" xfId="0" applyNumberFormat="1" applyFont="1" applyBorder="1" applyAlignment="1">
      <alignment horizontal="right" indent="1"/>
    </xf>
    <xf numFmtId="9" fontId="63" fillId="0" borderId="52" xfId="0" applyNumberFormat="1" applyFont="1" applyBorder="1" applyAlignment="1">
      <alignment horizontal="right" indent="1"/>
    </xf>
    <xf numFmtId="166" fontId="63" fillId="0" borderId="73" xfId="0" applyNumberFormat="1" applyFont="1" applyBorder="1" applyAlignment="1">
      <alignment horizontal="right" indent="1"/>
    </xf>
    <xf numFmtId="0" fontId="0" fillId="0" borderId="69" xfId="0" applyFont="1" applyBorder="1" applyAlignment="1">
      <alignment horizontal="right" indent="1"/>
    </xf>
    <xf numFmtId="0" fontId="8" fillId="0" borderId="1" xfId="0" quotePrefix="1" applyFont="1" applyFill="1" applyBorder="1" applyAlignment="1">
      <alignment horizontal="left" vertical="center" wrapText="1" indent="1"/>
    </xf>
    <xf numFmtId="167" fontId="4" fillId="0" borderId="0" xfId="4" applyNumberFormat="1" applyFont="1" applyBorder="1" applyAlignment="1">
      <alignment horizontal="left" vertical="center"/>
    </xf>
    <xf numFmtId="1" fontId="1" fillId="0" borderId="0" xfId="4" applyNumberFormat="1" applyFont="1" applyBorder="1" applyAlignment="1">
      <alignment horizontal="center" vertical="center"/>
    </xf>
    <xf numFmtId="164" fontId="16" fillId="14" borderId="50" xfId="1" applyNumberFormat="1" applyFont="1" applyFill="1" applyBorder="1" applyAlignment="1">
      <alignment horizontal="center" vertical="center" wrapText="1"/>
    </xf>
    <xf numFmtId="0" fontId="8" fillId="0" borderId="1" xfId="0" applyFont="1" applyFill="1" applyBorder="1" applyAlignment="1">
      <alignment horizontal="left" wrapText="1"/>
    </xf>
    <xf numFmtId="0" fontId="8" fillId="0" borderId="1" xfId="0" applyFont="1" applyFill="1" applyBorder="1" applyAlignment="1">
      <alignment horizontal="left" vertical="center" wrapText="1" indent="1"/>
    </xf>
    <xf numFmtId="43" fontId="23" fillId="0" borderId="0" xfId="1" applyNumberFormat="1" applyFont="1" applyAlignment="1">
      <alignment horizontal="right"/>
    </xf>
    <xf numFmtId="9" fontId="23" fillId="0" borderId="1" xfId="2" applyFont="1" applyFill="1" applyBorder="1" applyAlignment="1">
      <alignment vertical="center"/>
    </xf>
    <xf numFmtId="9" fontId="8" fillId="0" borderId="40" xfId="0" applyNumberFormat="1" applyFont="1" applyBorder="1"/>
    <xf numFmtId="0" fontId="8" fillId="0" borderId="0" xfId="0" applyFont="1" applyAlignment="1">
      <alignment horizontal="right"/>
    </xf>
    <xf numFmtId="9" fontId="0" fillId="7" borderId="0" xfId="0" applyNumberFormat="1" applyFill="1" applyAlignment="1">
      <alignment vertical="center"/>
    </xf>
    <xf numFmtId="166" fontId="0" fillId="0" borderId="1" xfId="0" applyNumberFormat="1" applyFont="1" applyBorder="1" applyAlignment="1">
      <alignment horizontal="right" indent="1"/>
    </xf>
    <xf numFmtId="166" fontId="23" fillId="0" borderId="40" xfId="0" applyNumberFormat="1" applyFont="1" applyBorder="1"/>
    <xf numFmtId="0" fontId="8" fillId="8" borderId="1" xfId="1" applyNumberFormat="1" applyFont="1" applyFill="1" applyBorder="1"/>
    <xf numFmtId="0" fontId="23" fillId="8" borderId="1" xfId="1" applyNumberFormat="1" applyFont="1" applyFill="1" applyBorder="1"/>
    <xf numFmtId="1" fontId="23" fillId="8" borderId="1" xfId="1" applyNumberFormat="1" applyFont="1" applyFill="1" applyBorder="1"/>
    <xf numFmtId="1" fontId="8" fillId="8" borderId="1" xfId="1" applyNumberFormat="1" applyFont="1" applyFill="1" applyBorder="1"/>
    <xf numFmtId="164" fontId="23" fillId="8" borderId="1" xfId="1" applyNumberFormat="1" applyFont="1" applyFill="1" applyBorder="1"/>
    <xf numFmtId="0" fontId="24" fillId="8" borderId="1" xfId="1" applyNumberFormat="1" applyFont="1" applyFill="1" applyBorder="1"/>
    <xf numFmtId="0" fontId="16" fillId="8" borderId="1" xfId="1" applyNumberFormat="1" applyFont="1" applyFill="1" applyBorder="1"/>
    <xf numFmtId="1" fontId="21" fillId="8" borderId="1" xfId="1" applyNumberFormat="1" applyFont="1" applyFill="1" applyBorder="1"/>
    <xf numFmtId="0" fontId="16" fillId="8" borderId="12" xfId="1" applyNumberFormat="1" applyFont="1" applyFill="1" applyBorder="1"/>
    <xf numFmtId="0" fontId="8" fillId="8" borderId="12" xfId="1" applyNumberFormat="1" applyFont="1" applyFill="1" applyBorder="1"/>
    <xf numFmtId="164" fontId="16" fillId="2" borderId="1" xfId="1" applyNumberFormat="1" applyFont="1" applyFill="1" applyBorder="1" applyAlignment="1">
      <alignment horizontal="center" vertical="top" wrapText="1"/>
    </xf>
    <xf numFmtId="164" fontId="24" fillId="2" borderId="1" xfId="1" applyNumberFormat="1" applyFont="1" applyFill="1" applyBorder="1" applyAlignment="1">
      <alignment horizontal="center" vertical="top" wrapText="1"/>
    </xf>
    <xf numFmtId="164" fontId="16" fillId="2" borderId="1" xfId="1" applyNumberFormat="1" applyFont="1" applyFill="1" applyBorder="1" applyAlignment="1">
      <alignment horizontal="center" vertical="top"/>
    </xf>
    <xf numFmtId="164" fontId="0" fillId="0" borderId="0" xfId="1" applyNumberFormat="1" applyFont="1" applyAlignment="1"/>
    <xf numFmtId="49" fontId="23" fillId="0" borderId="0" xfId="4" quotePrefix="1" applyNumberFormat="1" applyFont="1" applyBorder="1" applyAlignment="1">
      <alignment horizontal="left" vertical="center" wrapText="1"/>
    </xf>
    <xf numFmtId="0" fontId="18" fillId="5" borderId="0" xfId="0" applyFont="1" applyFill="1"/>
    <xf numFmtId="9" fontId="0" fillId="0" borderId="1" xfId="0" applyNumberFormat="1" applyBorder="1"/>
    <xf numFmtId="0" fontId="13" fillId="5" borderId="0" xfId="0" applyFont="1" applyFill="1" applyAlignment="1">
      <alignment horizontal="right"/>
    </xf>
    <xf numFmtId="5" fontId="37" fillId="5" borderId="0" xfId="0" applyNumberFormat="1" applyFont="1" applyFill="1" applyAlignment="1">
      <alignment horizontal="right"/>
    </xf>
    <xf numFmtId="5" fontId="37" fillId="11" borderId="0" xfId="0" applyNumberFormat="1" applyFont="1" applyFill="1" applyAlignment="1">
      <alignment horizontal="right"/>
    </xf>
    <xf numFmtId="0" fontId="0" fillId="5" borderId="0" xfId="0" applyFill="1" applyAlignment="1">
      <alignment horizontal="right"/>
    </xf>
    <xf numFmtId="5" fontId="1" fillId="11" borderId="0" xfId="0" applyNumberFormat="1" applyFont="1" applyFill="1"/>
    <xf numFmtId="164" fontId="0" fillId="0" borderId="1" xfId="0" applyNumberFormat="1" applyBorder="1"/>
    <xf numFmtId="0" fontId="1" fillId="5" borderId="0" xfId="0" applyFont="1" applyFill="1" applyAlignment="1">
      <alignment horizontal="left"/>
    </xf>
    <xf numFmtId="0" fontId="105" fillId="16" borderId="0" xfId="0" applyFont="1" applyFill="1" applyBorder="1" applyAlignment="1">
      <alignment horizontal="right" vertical="center"/>
    </xf>
    <xf numFmtId="1" fontId="8" fillId="0" borderId="0" xfId="0" applyNumberFormat="1" applyFont="1" applyBorder="1"/>
    <xf numFmtId="0" fontId="10" fillId="0" borderId="0" xfId="3" applyAlignment="1" applyProtection="1"/>
    <xf numFmtId="0" fontId="8" fillId="0" borderId="0" xfId="0" applyFont="1" applyAlignment="1">
      <alignment horizontal="center"/>
    </xf>
    <xf numFmtId="0" fontId="106" fillId="0" borderId="0" xfId="3" applyFont="1" applyAlignment="1" applyProtection="1"/>
    <xf numFmtId="0" fontId="23" fillId="0" borderId="0" xfId="0" quotePrefix="1" applyFont="1" applyFill="1"/>
    <xf numFmtId="9" fontId="8" fillId="0" borderId="0" xfId="0" applyNumberFormat="1" applyFont="1"/>
    <xf numFmtId="5" fontId="0" fillId="0" borderId="0" xfId="0" applyNumberFormat="1"/>
    <xf numFmtId="186" fontId="0" fillId="0" borderId="0" xfId="0" applyNumberFormat="1"/>
    <xf numFmtId="10" fontId="0" fillId="5" borderId="0" xfId="0" applyNumberFormat="1" applyFill="1"/>
    <xf numFmtId="164" fontId="13" fillId="0" borderId="0" xfId="0" applyNumberFormat="1" applyFont="1" applyFill="1" applyBorder="1"/>
    <xf numFmtId="1" fontId="15" fillId="0" borderId="0" xfId="0" applyNumberFormat="1" applyFont="1" applyAlignment="1">
      <alignment horizontal="right"/>
    </xf>
    <xf numFmtId="1" fontId="15" fillId="0" borderId="0" xfId="0" applyNumberFormat="1" applyFont="1" applyAlignment="1"/>
    <xf numFmtId="0" fontId="0" fillId="0" borderId="0" xfId="0" applyAlignment="1">
      <alignment horizontal="right"/>
    </xf>
    <xf numFmtId="1" fontId="15" fillId="0" borderId="0" xfId="0" applyNumberFormat="1" applyFont="1" applyAlignment="1">
      <alignment horizontal="left"/>
    </xf>
    <xf numFmtId="0" fontId="108" fillId="16" borderId="0" xfId="0" applyFont="1" applyFill="1" applyAlignment="1">
      <alignment horizontal="right"/>
    </xf>
    <xf numFmtId="0" fontId="16" fillId="18" borderId="1" xfId="1" applyNumberFormat="1" applyFont="1" applyFill="1" applyBorder="1"/>
    <xf numFmtId="0" fontId="8" fillId="18" borderId="1" xfId="1" applyNumberFormat="1" applyFont="1" applyFill="1" applyBorder="1"/>
    <xf numFmtId="164" fontId="8" fillId="18" borderId="1" xfId="1" applyNumberFormat="1" applyFont="1" applyFill="1" applyBorder="1" applyAlignment="1"/>
    <xf numFmtId="164" fontId="16" fillId="18" borderId="1" xfId="1" applyNumberFormat="1" applyFont="1" applyFill="1" applyBorder="1"/>
    <xf numFmtId="0" fontId="0" fillId="18" borderId="0" xfId="0" applyFill="1" applyBorder="1"/>
    <xf numFmtId="0" fontId="0" fillId="18" borderId="0" xfId="0" applyFill="1"/>
    <xf numFmtId="184" fontId="13" fillId="0" borderId="0" xfId="0" applyNumberFormat="1" applyFont="1"/>
    <xf numFmtId="174" fontId="16" fillId="5" borderId="0" xfId="2" applyNumberFormat="1" applyFont="1" applyFill="1" applyAlignment="1">
      <alignment horizontal="right" indent="1"/>
    </xf>
    <xf numFmtId="0" fontId="0" fillId="5" borderId="0" xfId="0" applyFill="1" applyAlignment="1">
      <alignment textRotation="150"/>
    </xf>
    <xf numFmtId="0" fontId="0" fillId="5" borderId="0" xfId="0" applyFill="1" applyAlignment="1"/>
    <xf numFmtId="0" fontId="0" fillId="0" borderId="0" xfId="0" applyFill="1" applyAlignment="1">
      <alignment horizontal="right" textRotation="90" wrapText="1"/>
    </xf>
    <xf numFmtId="0" fontId="8" fillId="5" borderId="0" xfId="0" applyFont="1" applyFill="1" applyAlignment="1">
      <alignment horizontal="left" textRotation="90" wrapText="1"/>
    </xf>
    <xf numFmtId="0" fontId="8" fillId="0" borderId="0" xfId="0" applyFont="1" applyFill="1" applyAlignment="1">
      <alignment horizontal="left" textRotation="90" wrapText="1"/>
    </xf>
    <xf numFmtId="0" fontId="0" fillId="5" borderId="0" xfId="0" applyFill="1" applyAlignment="1">
      <alignment textRotation="90"/>
    </xf>
    <xf numFmtId="166" fontId="8" fillId="7" borderId="45" xfId="0" applyNumberFormat="1" applyFont="1" applyFill="1" applyBorder="1" applyAlignment="1">
      <alignment horizontal="right" wrapText="1" indent="1"/>
    </xf>
    <xf numFmtId="166" fontId="8" fillId="7" borderId="53" xfId="0" applyNumberFormat="1" applyFont="1" applyFill="1" applyBorder="1" applyAlignment="1">
      <alignment horizontal="right" wrapText="1" indent="1"/>
    </xf>
    <xf numFmtId="166" fontId="8" fillId="7" borderId="56" xfId="0" applyNumberFormat="1" applyFont="1" applyFill="1" applyBorder="1" applyAlignment="1">
      <alignment horizontal="right" wrapText="1" indent="1"/>
    </xf>
    <xf numFmtId="166" fontId="8" fillId="19" borderId="56" xfId="0" applyNumberFormat="1" applyFont="1" applyFill="1" applyBorder="1" applyAlignment="1">
      <alignment horizontal="right" wrapText="1" indent="1"/>
    </xf>
    <xf numFmtId="166" fontId="8" fillId="20" borderId="53" xfId="0" applyNumberFormat="1" applyFont="1" applyFill="1" applyBorder="1" applyAlignment="1">
      <alignment horizontal="right" vertical="center" wrapText="1" indent="1"/>
    </xf>
    <xf numFmtId="166" fontId="0" fillId="21" borderId="0" xfId="0" applyNumberFormat="1" applyFill="1"/>
    <xf numFmtId="166" fontId="0" fillId="7" borderId="0" xfId="0" applyNumberFormat="1" applyFill="1"/>
    <xf numFmtId="166" fontId="0" fillId="19" borderId="0" xfId="0" applyNumberFormat="1" applyFill="1"/>
    <xf numFmtId="166" fontId="0" fillId="22" borderId="0" xfId="0" applyNumberFormat="1" applyFill="1"/>
    <xf numFmtId="166" fontId="8" fillId="23" borderId="53" xfId="0" applyNumberFormat="1" applyFont="1" applyFill="1" applyBorder="1" applyAlignment="1">
      <alignment horizontal="right" wrapText="1" indent="1"/>
    </xf>
    <xf numFmtId="166" fontId="8" fillId="22" borderId="53" xfId="0" applyNumberFormat="1" applyFont="1" applyFill="1" applyBorder="1" applyAlignment="1">
      <alignment horizontal="right" vertical="center" wrapText="1" indent="1"/>
    </xf>
    <xf numFmtId="166" fontId="8" fillId="22" borderId="53" xfId="0" applyNumberFormat="1" applyFont="1" applyFill="1" applyBorder="1" applyAlignment="1">
      <alignment horizontal="right" wrapText="1" indent="1"/>
    </xf>
    <xf numFmtId="166" fontId="8" fillId="19" borderId="53" xfId="0" applyNumberFormat="1" applyFont="1" applyFill="1" applyBorder="1" applyAlignment="1">
      <alignment horizontal="right" wrapText="1" indent="1"/>
    </xf>
    <xf numFmtId="9" fontId="0" fillId="5" borderId="0" xfId="0" applyNumberFormat="1" applyFill="1"/>
    <xf numFmtId="166" fontId="0" fillId="0" borderId="0" xfId="0" applyNumberFormat="1" applyFill="1"/>
    <xf numFmtId="0" fontId="0" fillId="7" borderId="0" xfId="0" applyFill="1" applyAlignment="1">
      <alignment horizontal="right"/>
    </xf>
    <xf numFmtId="164" fontId="24" fillId="0" borderId="0" xfId="1" applyNumberFormat="1" applyFont="1" applyFill="1"/>
    <xf numFmtId="164" fontId="109" fillId="0" borderId="1" xfId="1" applyNumberFormat="1" applyFont="1" applyFill="1" applyBorder="1"/>
    <xf numFmtId="42" fontId="110" fillId="0" borderId="0" xfId="0" applyNumberFormat="1" applyFont="1"/>
    <xf numFmtId="1" fontId="110" fillId="0" borderId="1" xfId="0" quotePrefix="1" applyNumberFormat="1" applyFont="1" applyBorder="1"/>
    <xf numFmtId="1" fontId="110" fillId="7" borderId="1" xfId="0" quotePrefix="1" applyNumberFormat="1" applyFont="1" applyFill="1" applyBorder="1" applyAlignment="1">
      <alignment wrapText="1"/>
    </xf>
    <xf numFmtId="1" fontId="110" fillId="0" borderId="1" xfId="0" quotePrefix="1" applyNumberFormat="1" applyFont="1" applyBorder="1" applyAlignment="1">
      <alignment wrapText="1"/>
    </xf>
    <xf numFmtId="42" fontId="110" fillId="0" borderId="1" xfId="0" applyNumberFormat="1" applyFont="1" applyBorder="1"/>
    <xf numFmtId="1" fontId="110" fillId="0" borderId="1" xfId="0" applyNumberFormat="1" applyFont="1" applyBorder="1"/>
    <xf numFmtId="180" fontId="8" fillId="0" borderId="0" xfId="0" applyNumberFormat="1" applyFont="1"/>
    <xf numFmtId="180" fontId="8" fillId="0" borderId="1" xfId="0" applyNumberFormat="1" applyFont="1" applyBorder="1"/>
    <xf numFmtId="170" fontId="8" fillId="0" borderId="1" xfId="0" applyNumberFormat="1" applyFont="1" applyFill="1" applyBorder="1"/>
    <xf numFmtId="1" fontId="8" fillId="0" borderId="1" xfId="0" applyNumberFormat="1" applyFont="1" applyFill="1" applyBorder="1"/>
    <xf numFmtId="170" fontId="30" fillId="0" borderId="1" xfId="0" applyNumberFormat="1" applyFont="1" applyBorder="1"/>
    <xf numFmtId="180" fontId="8" fillId="2" borderId="0" xfId="0" applyNumberFormat="1" applyFont="1" applyFill="1"/>
    <xf numFmtId="170" fontId="16" fillId="2" borderId="1" xfId="0" applyNumberFormat="1" applyFont="1" applyFill="1" applyBorder="1"/>
    <xf numFmtId="1" fontId="8" fillId="2" borderId="1" xfId="0" applyNumberFormat="1" applyFont="1" applyFill="1" applyBorder="1"/>
    <xf numFmtId="0" fontId="8" fillId="2" borderId="1" xfId="0" applyFont="1" applyFill="1" applyBorder="1"/>
    <xf numFmtId="180" fontId="8" fillId="2" borderId="1" xfId="0" applyNumberFormat="1" applyFont="1" applyFill="1" applyBorder="1"/>
    <xf numFmtId="164" fontId="8" fillId="2" borderId="1" xfId="1" applyNumberFormat="1" applyFont="1" applyFill="1" applyBorder="1"/>
    <xf numFmtId="1" fontId="8" fillId="7" borderId="1" xfId="0" applyNumberFormat="1" applyFont="1" applyFill="1" applyBorder="1"/>
    <xf numFmtId="170" fontId="16" fillId="6" borderId="1" xfId="0" applyNumberFormat="1" applyFont="1" applyFill="1" applyBorder="1"/>
    <xf numFmtId="1" fontId="23" fillId="2" borderId="1" xfId="0" applyNumberFormat="1" applyFont="1" applyFill="1" applyBorder="1"/>
    <xf numFmtId="175" fontId="8" fillId="0" borderId="0" xfId="0" applyNumberFormat="1" applyFont="1"/>
    <xf numFmtId="175" fontId="8" fillId="0" borderId="0" xfId="0" applyNumberFormat="1" applyFont="1" applyBorder="1"/>
    <xf numFmtId="42" fontId="8" fillId="0" borderId="1" xfId="0" applyNumberFormat="1" applyFont="1" applyBorder="1"/>
    <xf numFmtId="1" fontId="110" fillId="0" borderId="1" xfId="0" quotePrefix="1" applyNumberFormat="1" applyFont="1" applyBorder="1" applyAlignment="1">
      <alignment horizontal="center" wrapText="1"/>
    </xf>
    <xf numFmtId="1" fontId="110" fillId="0" borderId="1" xfId="0" quotePrefix="1" applyNumberFormat="1" applyFont="1" applyBorder="1" applyAlignment="1">
      <alignment horizontal="center"/>
    </xf>
    <xf numFmtId="42" fontId="8" fillId="0" borderId="0" xfId="0" applyNumberFormat="1" applyFont="1" applyBorder="1"/>
    <xf numFmtId="0" fontId="110" fillId="0" borderId="1" xfId="0" applyFont="1" applyBorder="1" applyAlignment="1">
      <alignment horizontal="right"/>
    </xf>
    <xf numFmtId="9" fontId="8" fillId="0" borderId="1" xfId="2" applyFont="1" applyBorder="1"/>
    <xf numFmtId="9" fontId="110" fillId="6" borderId="1" xfId="0" applyNumberFormat="1" applyFont="1" applyFill="1" applyBorder="1"/>
    <xf numFmtId="0" fontId="8" fillId="0" borderId="1" xfId="0" applyFont="1" applyBorder="1" applyAlignment="1">
      <alignment horizontal="right"/>
    </xf>
    <xf numFmtId="170" fontId="8" fillId="0" borderId="1" xfId="0" applyNumberFormat="1" applyFont="1" applyBorder="1"/>
    <xf numFmtId="0" fontId="23" fillId="0" borderId="3" xfId="0" applyFont="1" applyBorder="1" applyAlignment="1">
      <alignment horizontal="right"/>
    </xf>
    <xf numFmtId="170" fontId="8" fillId="6" borderId="1" xfId="0" applyNumberFormat="1" applyFont="1" applyFill="1" applyBorder="1"/>
    <xf numFmtId="0" fontId="8" fillId="5" borderId="0" xfId="0" quotePrefix="1" applyFont="1" applyFill="1" applyBorder="1" applyAlignment="1">
      <alignment horizontal="left" vertical="center" wrapText="1" indent="1"/>
    </xf>
    <xf numFmtId="0" fontId="77" fillId="5" borderId="0" xfId="0" applyFont="1" applyFill="1" applyAlignment="1">
      <alignment horizontal="center" vertical="center" wrapText="1"/>
    </xf>
    <xf numFmtId="0" fontId="23" fillId="5" borderId="0" xfId="0" quotePrefix="1" applyFont="1" applyFill="1" applyBorder="1" applyAlignment="1">
      <alignment horizontal="left" vertical="center" wrapText="1" indent="1"/>
    </xf>
    <xf numFmtId="0" fontId="8" fillId="0" borderId="0" xfId="0" quotePrefix="1" applyFont="1" applyFill="1" applyBorder="1" applyAlignment="1">
      <alignment horizontal="left" vertical="center" wrapText="1" indent="1"/>
    </xf>
    <xf numFmtId="0" fontId="51" fillId="3" borderId="1" xfId="0" applyFont="1" applyFill="1" applyBorder="1" applyAlignment="1">
      <alignment horizontal="left" vertical="center" wrapText="1"/>
    </xf>
    <xf numFmtId="0" fontId="23" fillId="3" borderId="29" xfId="0" applyFont="1" applyFill="1" applyBorder="1" applyAlignment="1">
      <alignment horizontal="left" wrapText="1"/>
    </xf>
    <xf numFmtId="0" fontId="23" fillId="3" borderId="30" xfId="0" applyFont="1" applyFill="1" applyBorder="1" applyAlignment="1">
      <alignment horizontal="left" wrapText="1"/>
    </xf>
    <xf numFmtId="0" fontId="23" fillId="3" borderId="31" xfId="0" applyFont="1" applyFill="1" applyBorder="1" applyAlignment="1">
      <alignment horizontal="left" wrapText="1"/>
    </xf>
    <xf numFmtId="0" fontId="8" fillId="3" borderId="29" xfId="0" applyFont="1" applyFill="1" applyBorder="1" applyAlignment="1">
      <alignment horizontal="left" wrapText="1"/>
    </xf>
    <xf numFmtId="0" fontId="8" fillId="3" borderId="30" xfId="0" applyFont="1" applyFill="1" applyBorder="1" applyAlignment="1">
      <alignment horizontal="left" wrapText="1"/>
    </xf>
    <xf numFmtId="0" fontId="8" fillId="3" borderId="31" xfId="0" applyFont="1" applyFill="1" applyBorder="1" applyAlignment="1">
      <alignment horizontal="left" wrapText="1"/>
    </xf>
    <xf numFmtId="0" fontId="63" fillId="5" borderId="0" xfId="0" applyFont="1" applyFill="1" applyAlignment="1">
      <alignment horizontal="left" vertical="center" wrapText="1" indent="1"/>
    </xf>
    <xf numFmtId="0" fontId="23" fillId="3" borderId="1" xfId="0" applyFont="1" applyFill="1" applyBorder="1" applyAlignment="1">
      <alignment horizontal="left" wrapText="1"/>
    </xf>
    <xf numFmtId="0" fontId="23" fillId="3" borderId="32" xfId="0" applyFont="1" applyFill="1" applyBorder="1" applyAlignment="1">
      <alignment horizontal="left" wrapText="1"/>
    </xf>
    <xf numFmtId="0" fontId="23" fillId="3" borderId="8" xfId="0" applyFont="1" applyFill="1" applyBorder="1" applyAlignment="1">
      <alignment horizontal="left" wrapText="1"/>
    </xf>
    <xf numFmtId="0" fontId="23" fillId="3" borderId="33" xfId="0" applyFont="1" applyFill="1" applyBorder="1" applyAlignment="1">
      <alignment horizontal="left" wrapText="1"/>
    </xf>
    <xf numFmtId="0" fontId="8" fillId="3" borderId="1" xfId="0" applyFont="1" applyFill="1" applyBorder="1" applyAlignment="1">
      <alignment horizontal="left" wrapText="1"/>
    </xf>
    <xf numFmtId="0" fontId="23" fillId="5" borderId="6" xfId="0" applyFont="1" applyFill="1" applyBorder="1" applyAlignment="1">
      <alignment horizontal="left" vertical="center" wrapText="1" indent="1"/>
    </xf>
    <xf numFmtId="0" fontId="23" fillId="0" borderId="0" xfId="0" quotePrefix="1" applyFont="1" applyAlignment="1">
      <alignment horizontal="left" wrapText="1"/>
    </xf>
    <xf numFmtId="0" fontId="8" fillId="0" borderId="0" xfId="0" quotePrefix="1" applyFont="1" applyAlignment="1">
      <alignment horizontal="left" wrapText="1"/>
    </xf>
    <xf numFmtId="0" fontId="8" fillId="5" borderId="0" xfId="0" quotePrefix="1" applyFont="1" applyFill="1" applyBorder="1" applyAlignment="1">
      <alignment horizontal="left" vertical="top" wrapText="1" indent="1"/>
    </xf>
    <xf numFmtId="0" fontId="23" fillId="0" borderId="0" xfId="0" quotePrefix="1" applyFont="1" applyFill="1" applyBorder="1" applyAlignment="1">
      <alignment horizontal="left" vertical="center" wrapText="1" indent="1"/>
    </xf>
    <xf numFmtId="0" fontId="23" fillId="0" borderId="0" xfId="0" applyFont="1" applyAlignment="1">
      <alignment horizontal="left" wrapText="1"/>
    </xf>
    <xf numFmtId="0" fontId="23" fillId="0" borderId="0" xfId="0" quotePrefix="1" applyFont="1" applyFill="1" applyBorder="1" applyAlignment="1">
      <alignment horizontal="left" vertical="top" wrapText="1" indent="1"/>
    </xf>
    <xf numFmtId="0" fontId="8" fillId="5" borderId="2" xfId="0" applyFont="1" applyFill="1" applyBorder="1" applyAlignment="1">
      <alignment horizontal="left" vertical="top" wrapText="1"/>
    </xf>
    <xf numFmtId="0" fontId="8" fillId="5" borderId="10" xfId="0" applyFont="1" applyFill="1" applyBorder="1" applyAlignment="1">
      <alignment horizontal="left" vertical="top" wrapText="1"/>
    </xf>
    <xf numFmtId="0" fontId="8" fillId="5" borderId="3" xfId="0" applyFont="1" applyFill="1" applyBorder="1" applyAlignment="1">
      <alignment horizontal="left" vertical="top" wrapText="1"/>
    </xf>
    <xf numFmtId="0" fontId="8" fillId="5" borderId="2" xfId="0" quotePrefix="1" applyFont="1" applyFill="1" applyBorder="1" applyAlignment="1">
      <alignment horizontal="left" vertical="top" wrapText="1"/>
    </xf>
    <xf numFmtId="0" fontId="8" fillId="5" borderId="10" xfId="0" quotePrefix="1" applyFont="1" applyFill="1" applyBorder="1" applyAlignment="1">
      <alignment horizontal="left" vertical="top" wrapText="1"/>
    </xf>
    <xf numFmtId="0" fontId="8" fillId="5" borderId="3" xfId="0" quotePrefix="1" applyFont="1" applyFill="1" applyBorder="1" applyAlignment="1">
      <alignment horizontal="left" vertical="top" wrapText="1"/>
    </xf>
    <xf numFmtId="0" fontId="8" fillId="5" borderId="2" xfId="0" applyFont="1" applyFill="1" applyBorder="1" applyAlignment="1">
      <alignment horizontal="left" wrapText="1"/>
    </xf>
    <xf numFmtId="0" fontId="8" fillId="5" borderId="10" xfId="0" applyFont="1" applyFill="1" applyBorder="1" applyAlignment="1">
      <alignment horizontal="left" wrapText="1"/>
    </xf>
    <xf numFmtId="0" fontId="8" fillId="5" borderId="3" xfId="0" applyFont="1" applyFill="1" applyBorder="1" applyAlignment="1">
      <alignment horizontal="left" wrapText="1"/>
    </xf>
    <xf numFmtId="0" fontId="13" fillId="2" borderId="2" xfId="0" applyFont="1" applyFill="1" applyBorder="1" applyAlignment="1">
      <alignment wrapText="1"/>
    </xf>
    <xf numFmtId="0" fontId="13" fillId="2" borderId="3" xfId="0" applyFont="1" applyFill="1" applyBorder="1" applyAlignment="1">
      <alignment wrapText="1"/>
    </xf>
    <xf numFmtId="0" fontId="18" fillId="6" borderId="2" xfId="0" applyFont="1" applyFill="1" applyBorder="1" applyAlignment="1">
      <alignment horizontal="left" wrapText="1"/>
    </xf>
    <xf numFmtId="0" fontId="18" fillId="6" borderId="10" xfId="0" applyFont="1" applyFill="1" applyBorder="1" applyAlignment="1">
      <alignment horizontal="left" wrapText="1"/>
    </xf>
    <xf numFmtId="0" fontId="18" fillId="6" borderId="3" xfId="0" applyFont="1" applyFill="1" applyBorder="1" applyAlignment="1">
      <alignment horizontal="left" wrapText="1"/>
    </xf>
    <xf numFmtId="0" fontId="70" fillId="2" borderId="2" xfId="0" applyFont="1" applyFill="1" applyBorder="1" applyAlignment="1">
      <alignment horizontal="left" wrapText="1"/>
    </xf>
    <xf numFmtId="0" fontId="70" fillId="2" borderId="10" xfId="0" applyFont="1" applyFill="1" applyBorder="1" applyAlignment="1">
      <alignment horizontal="left" wrapText="1"/>
    </xf>
    <xf numFmtId="0" fontId="70" fillId="2" borderId="3" xfId="0" applyFont="1" applyFill="1" applyBorder="1" applyAlignment="1">
      <alignment horizontal="left" wrapText="1"/>
    </xf>
    <xf numFmtId="49" fontId="24" fillId="0" borderId="0" xfId="4" applyNumberFormat="1" applyFont="1" applyFill="1" applyBorder="1" applyAlignment="1">
      <alignment horizontal="right" wrapText="1"/>
    </xf>
    <xf numFmtId="49" fontId="13" fillId="0" borderId="0" xfId="4" applyNumberFormat="1" applyFont="1" applyBorder="1" applyAlignment="1">
      <alignment horizontal="right" wrapText="1"/>
    </xf>
    <xf numFmtId="1" fontId="22" fillId="6" borderId="0" xfId="4" applyNumberFormat="1" applyFont="1" applyFill="1" applyBorder="1" applyAlignment="1">
      <alignment horizontal="center" vertical="center"/>
    </xf>
    <xf numFmtId="1" fontId="22" fillId="6" borderId="16" xfId="4" applyNumberFormat="1" applyFont="1" applyFill="1" applyBorder="1" applyAlignment="1">
      <alignment horizontal="center" vertical="center"/>
    </xf>
    <xf numFmtId="1" fontId="22" fillId="6" borderId="6" xfId="4" applyNumberFormat="1" applyFont="1" applyFill="1" applyBorder="1" applyAlignment="1">
      <alignment horizontal="center" vertical="center" wrapText="1"/>
    </xf>
    <xf numFmtId="1" fontId="22" fillId="6" borderId="0" xfId="4" applyNumberFormat="1" applyFont="1" applyFill="1" applyBorder="1" applyAlignment="1">
      <alignment horizontal="center" vertical="center" wrapText="1"/>
    </xf>
    <xf numFmtId="1" fontId="22" fillId="6" borderId="7" xfId="4" applyNumberFormat="1" applyFont="1" applyFill="1" applyBorder="1" applyAlignment="1">
      <alignment horizontal="center" vertical="center" wrapText="1"/>
    </xf>
    <xf numFmtId="1" fontId="22" fillId="6" borderId="0" xfId="4" applyNumberFormat="1" applyFont="1" applyFill="1" applyAlignment="1">
      <alignment horizontal="center" vertical="center" wrapText="1"/>
    </xf>
    <xf numFmtId="49" fontId="37" fillId="0" borderId="0" xfId="4" applyNumberFormat="1" applyFont="1" applyBorder="1" applyAlignment="1">
      <alignment horizontal="left" wrapText="1" indent="2"/>
    </xf>
    <xf numFmtId="164" fontId="13" fillId="0" borderId="0" xfId="0" applyNumberFormat="1" applyFont="1" applyBorder="1" applyAlignment="1">
      <alignment horizontal="center"/>
    </xf>
    <xf numFmtId="0" fontId="13" fillId="0" borderId="0" xfId="0" applyFont="1" applyBorder="1" applyAlignment="1">
      <alignment horizontal="center"/>
    </xf>
    <xf numFmtId="175" fontId="54" fillId="5" borderId="37" xfId="1" applyNumberFormat="1" applyFont="1" applyFill="1" applyBorder="1" applyAlignment="1">
      <alignment horizontal="center" vertical="center"/>
    </xf>
    <xf numFmtId="175" fontId="54" fillId="5" borderId="38" xfId="1" applyNumberFormat="1" applyFont="1" applyFill="1" applyBorder="1" applyAlignment="1">
      <alignment horizontal="center" vertical="center"/>
    </xf>
    <xf numFmtId="175" fontId="54" fillId="5" borderId="39" xfId="1" applyNumberFormat="1" applyFont="1" applyFill="1" applyBorder="1" applyAlignment="1">
      <alignment horizontal="center" vertical="center"/>
    </xf>
    <xf numFmtId="175" fontId="54" fillId="5" borderId="37" xfId="1" applyNumberFormat="1" applyFont="1" applyFill="1" applyBorder="1" applyAlignment="1">
      <alignment horizontal="center"/>
    </xf>
    <xf numFmtId="175" fontId="54" fillId="5" borderId="38" xfId="1" applyNumberFormat="1" applyFont="1" applyFill="1" applyBorder="1" applyAlignment="1">
      <alignment horizontal="center"/>
    </xf>
    <xf numFmtId="175" fontId="54" fillId="5" borderId="39" xfId="1" applyNumberFormat="1" applyFont="1" applyFill="1" applyBorder="1" applyAlignment="1">
      <alignment horizontal="center"/>
    </xf>
    <xf numFmtId="164" fontId="23" fillId="0" borderId="0" xfId="1" applyNumberFormat="1" applyFont="1" applyAlignment="1">
      <alignment horizontal="right" wrapText="1"/>
    </xf>
    <xf numFmtId="164" fontId="23" fillId="0" borderId="0" xfId="1" applyNumberFormat="1" applyFont="1" applyBorder="1" applyAlignment="1">
      <alignment horizontal="right" wrapText="1"/>
    </xf>
    <xf numFmtId="0" fontId="53" fillId="8" borderId="34" xfId="0" applyFont="1" applyFill="1" applyBorder="1" applyAlignment="1">
      <alignment horizontal="center" vertical="center"/>
    </xf>
    <xf numFmtId="0" fontId="53" fillId="8" borderId="35" xfId="0" applyFont="1" applyFill="1" applyBorder="1" applyAlignment="1">
      <alignment horizontal="center" vertical="center"/>
    </xf>
    <xf numFmtId="0" fontId="53" fillId="8" borderId="36" xfId="0" applyFont="1" applyFill="1" applyBorder="1" applyAlignment="1">
      <alignment horizontal="center" vertical="center"/>
    </xf>
    <xf numFmtId="0" fontId="53" fillId="8" borderId="34" xfId="0" applyFont="1" applyFill="1" applyBorder="1" applyAlignment="1">
      <alignment horizontal="center" vertical="center" wrapText="1"/>
    </xf>
    <xf numFmtId="0" fontId="53" fillId="8" borderId="35" xfId="0" applyFont="1" applyFill="1" applyBorder="1" applyAlignment="1">
      <alignment horizontal="center" vertical="center" wrapText="1"/>
    </xf>
    <xf numFmtId="0" fontId="53" fillId="8" borderId="36" xfId="0" applyFont="1" applyFill="1" applyBorder="1" applyAlignment="1">
      <alignment horizontal="center" vertical="center" wrapText="1"/>
    </xf>
    <xf numFmtId="0" fontId="13" fillId="0" borderId="0" xfId="0" applyFont="1" applyFill="1" applyBorder="1" applyAlignment="1">
      <alignment horizontal="right"/>
    </xf>
    <xf numFmtId="170" fontId="23" fillId="0" borderId="12" xfId="0" applyNumberFormat="1" applyFont="1" applyFill="1" applyBorder="1" applyAlignment="1">
      <alignment horizontal="center"/>
    </xf>
    <xf numFmtId="170" fontId="23" fillId="0" borderId="11" xfId="0" applyNumberFormat="1" applyFont="1" applyFill="1" applyBorder="1" applyAlignment="1">
      <alignment horizontal="center"/>
    </xf>
    <xf numFmtId="170" fontId="23" fillId="0" borderId="9" xfId="0" applyNumberFormat="1" applyFont="1" applyFill="1" applyBorder="1" applyAlignment="1">
      <alignment horizontal="center"/>
    </xf>
    <xf numFmtId="0" fontId="13" fillId="0" borderId="5" xfId="0" applyFont="1" applyBorder="1" applyAlignment="1">
      <alignment horizontal="center"/>
    </xf>
    <xf numFmtId="0" fontId="13" fillId="0" borderId="0" xfId="0" applyFont="1" applyAlignment="1">
      <alignment wrapText="1"/>
    </xf>
    <xf numFmtId="0" fontId="18" fillId="6" borderId="0" xfId="0" applyFont="1" applyFill="1" applyBorder="1" applyAlignment="1">
      <alignment horizontal="left" wrapText="1" indent="1"/>
    </xf>
    <xf numFmtId="0" fontId="13" fillId="0" borderId="0" xfId="0" applyFont="1" applyAlignment="1">
      <alignment horizontal="left" wrapText="1"/>
    </xf>
    <xf numFmtId="165" fontId="13" fillId="7" borderId="2" xfId="0" applyNumberFormat="1" applyFont="1" applyFill="1" applyBorder="1" applyAlignment="1">
      <alignment horizontal="center"/>
    </xf>
    <xf numFmtId="165" fontId="13" fillId="7" borderId="10" xfId="0" applyNumberFormat="1" applyFont="1" applyFill="1" applyBorder="1" applyAlignment="1">
      <alignment horizontal="center"/>
    </xf>
    <xf numFmtId="165" fontId="13" fillId="7" borderId="3" xfId="0" applyNumberFormat="1" applyFont="1" applyFill="1" applyBorder="1" applyAlignment="1">
      <alignment horizontal="center"/>
    </xf>
    <xf numFmtId="0" fontId="13" fillId="3" borderId="2" xfId="0" applyFont="1" applyFill="1" applyBorder="1" applyAlignment="1">
      <alignment wrapText="1"/>
    </xf>
    <xf numFmtId="0" fontId="13" fillId="3" borderId="10" xfId="0" applyFont="1" applyFill="1" applyBorder="1" applyAlignment="1">
      <alignment wrapText="1"/>
    </xf>
    <xf numFmtId="0" fontId="13" fillId="3" borderId="3" xfId="0" applyFont="1" applyFill="1" applyBorder="1" applyAlignment="1">
      <alignment wrapText="1"/>
    </xf>
    <xf numFmtId="0" fontId="0" fillId="2" borderId="48" xfId="0" applyFill="1" applyBorder="1" applyAlignment="1">
      <alignment horizontal="center" vertical="center" wrapText="1"/>
    </xf>
    <xf numFmtId="0" fontId="0" fillId="2" borderId="51"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52" xfId="0" applyFill="1" applyBorder="1" applyAlignment="1">
      <alignment horizontal="center" vertical="center" wrapText="1"/>
    </xf>
    <xf numFmtId="0" fontId="0" fillId="2" borderId="0" xfId="0" applyFill="1" applyBorder="1" applyAlignment="1">
      <alignment horizontal="center" vertical="center" wrapText="1"/>
    </xf>
    <xf numFmtId="0" fontId="0" fillId="2" borderId="54" xfId="0" applyFill="1" applyBorder="1" applyAlignment="1">
      <alignment horizontal="center" vertical="center" wrapText="1"/>
    </xf>
    <xf numFmtId="0" fontId="40" fillId="0" borderId="6" xfId="0" applyFont="1" applyBorder="1" applyAlignment="1">
      <alignment horizontal="left" wrapText="1" indent="1"/>
    </xf>
    <xf numFmtId="0" fontId="40" fillId="0" borderId="0" xfId="0" applyFont="1" applyBorder="1" applyAlignment="1">
      <alignment horizontal="left" wrapText="1" indent="1"/>
    </xf>
    <xf numFmtId="0" fontId="40" fillId="0" borderId="6" xfId="0" applyFont="1" applyFill="1" applyBorder="1" applyAlignment="1">
      <alignment horizontal="left" vertical="center" wrapText="1" indent="1"/>
    </xf>
    <xf numFmtId="0" fontId="40" fillId="0" borderId="0" xfId="0" applyFont="1" applyFill="1" applyBorder="1" applyAlignment="1">
      <alignment horizontal="left" vertical="center" wrapText="1" indent="1"/>
    </xf>
    <xf numFmtId="0" fontId="95" fillId="0" borderId="0" xfId="0" quotePrefix="1" applyFont="1" applyAlignment="1">
      <alignment wrapText="1"/>
    </xf>
    <xf numFmtId="0" fontId="95" fillId="0" borderId="0" xfId="0" applyFont="1" applyAlignment="1">
      <alignment wrapText="1"/>
    </xf>
    <xf numFmtId="0" fontId="107" fillId="17" borderId="0" xfId="0" applyFont="1" applyFill="1" applyAlignment="1">
      <alignment horizontal="left" vertical="center"/>
    </xf>
    <xf numFmtId="0" fontId="107" fillId="17" borderId="74" xfId="0" applyFont="1" applyFill="1" applyBorder="1" applyAlignment="1">
      <alignment horizontal="left" vertical="center"/>
    </xf>
    <xf numFmtId="3" fontId="0" fillId="0" borderId="0" xfId="0" applyNumberFormat="1"/>
  </cellXfs>
  <cellStyles count="5">
    <cellStyle name="Hyperlink" xfId="3" builtinId="8"/>
    <cellStyle name="Komma" xfId="1" builtinId="3"/>
    <cellStyle name="Procent" xfId="2" builtinId="5"/>
    <cellStyle name="Standaard" xfId="0" builtinId="0"/>
    <cellStyle name="Standaard 2" xfId="4"/>
  </cellStyles>
  <dxfs count="133">
    <dxf>
      <font>
        <color auto="1"/>
      </font>
      <fill>
        <patternFill>
          <bgColor rgb="FFFFFF00"/>
        </patternFill>
      </fill>
    </dxf>
    <dxf>
      <fill>
        <patternFill>
          <bgColor rgb="FF92D05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ont>
        <color rgb="FFFF0000"/>
      </font>
    </dxf>
    <dxf>
      <font>
        <color rgb="FFFF0000"/>
      </font>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7D7D"/>
        </patternFill>
      </fill>
    </dxf>
    <dxf>
      <fill>
        <patternFill>
          <bgColor rgb="FFFF7D7D"/>
        </patternFill>
      </fill>
    </dxf>
    <dxf>
      <fill>
        <patternFill>
          <bgColor rgb="FFFF7D7D"/>
        </patternFill>
      </fill>
    </dxf>
    <dxf>
      <fill>
        <patternFill>
          <bgColor rgb="FFFF7D7D"/>
        </patternFill>
      </fill>
    </dxf>
    <dxf>
      <fill>
        <patternFill>
          <bgColor rgb="FFFF7D7D"/>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FFFF00"/>
        </patternFill>
      </fill>
    </dxf>
  </dxfs>
  <tableStyles count="0" defaultTableStyle="TableStyleMedium2" defaultPivotStyle="PivotStyleLight16"/>
  <colors>
    <mruColors>
      <color rgb="FF0000FF"/>
      <color rgb="FFBEBEBE"/>
      <color rgb="FFCDCDCD"/>
      <color rgb="FFEAEAEA"/>
      <color rgb="FFE6E6E6"/>
      <color rgb="FFD5D5D5"/>
      <color rgb="FFE0E0E0"/>
      <color rgb="FFDCDCDC"/>
      <color rgb="FFC7C7C7"/>
      <color rgb="FFA18D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97792768843746"/>
          <c:y val="0.1148384025939862"/>
          <c:w val="0.56780192839421684"/>
          <c:h val="0.75901247065083433"/>
        </c:manualLayout>
      </c:layout>
      <c:pieChart>
        <c:varyColors val="1"/>
        <c:ser>
          <c:idx val="0"/>
          <c:order val="0"/>
          <c:explosion val="1"/>
          <c:dPt>
            <c:idx val="0"/>
            <c:bubble3D val="0"/>
            <c:spPr>
              <a:solidFill>
                <a:schemeClr val="accent4">
                  <a:lumMod val="75000"/>
                </a:schemeClr>
              </a:solidFill>
            </c:spPr>
            <c:extLst xmlns:c16r2="http://schemas.microsoft.com/office/drawing/2015/06/chart">
              <c:ext xmlns:c16="http://schemas.microsoft.com/office/drawing/2014/chart" uri="{C3380CC4-5D6E-409C-BE32-E72D297353CC}">
                <c16:uniqueId val="{00000001-F7B9-46EB-BBF3-75EB6E629F2E}"/>
              </c:ext>
            </c:extLst>
          </c:dPt>
          <c:dPt>
            <c:idx val="1"/>
            <c:bubble3D val="0"/>
            <c:spPr>
              <a:solidFill>
                <a:srgbClr val="C8D7EC"/>
              </a:solidFill>
            </c:spPr>
            <c:extLst xmlns:c16r2="http://schemas.microsoft.com/office/drawing/2015/06/chart">
              <c:ext xmlns:c16="http://schemas.microsoft.com/office/drawing/2014/chart" uri="{C3380CC4-5D6E-409C-BE32-E72D297353CC}">
                <c16:uniqueId val="{00000003-F7B9-46EB-BBF3-75EB6E629F2E}"/>
              </c:ext>
            </c:extLst>
          </c:dPt>
          <c:dPt>
            <c:idx val="2"/>
            <c:bubble3D val="0"/>
            <c:spPr>
              <a:solidFill>
                <a:srgbClr val="9AB7DA"/>
              </a:solidFill>
            </c:spPr>
            <c:extLst xmlns:c16r2="http://schemas.microsoft.com/office/drawing/2015/06/chart">
              <c:ext xmlns:c16="http://schemas.microsoft.com/office/drawing/2014/chart" uri="{C3380CC4-5D6E-409C-BE32-E72D297353CC}">
                <c16:uniqueId val="{00000005-F7B9-46EB-BBF3-75EB6E629F2E}"/>
              </c:ext>
            </c:extLst>
          </c:dPt>
          <c:dPt>
            <c:idx val="3"/>
            <c:bubble3D val="0"/>
            <c:spPr>
              <a:solidFill>
                <a:srgbClr val="FFFF00"/>
              </a:solidFill>
            </c:spPr>
            <c:extLst xmlns:c16r2="http://schemas.microsoft.com/office/drawing/2015/06/chart">
              <c:ext xmlns:c16="http://schemas.microsoft.com/office/drawing/2014/chart" uri="{C3380CC4-5D6E-409C-BE32-E72D297353CC}">
                <c16:uniqueId val="{00000007-F7B9-46EB-BBF3-75EB6E629F2E}"/>
              </c:ext>
            </c:extLst>
          </c:dPt>
          <c:dPt>
            <c:idx val="4"/>
            <c:bubble3D val="0"/>
            <c:spPr>
              <a:solidFill>
                <a:srgbClr val="FFCC00"/>
              </a:solidFill>
            </c:spPr>
            <c:extLst xmlns:c16r2="http://schemas.microsoft.com/office/drawing/2015/06/chart">
              <c:ext xmlns:c16="http://schemas.microsoft.com/office/drawing/2014/chart" uri="{C3380CC4-5D6E-409C-BE32-E72D297353CC}">
                <c16:uniqueId val="{00000009-F7B9-46EB-BBF3-75EB6E629F2E}"/>
              </c:ext>
            </c:extLst>
          </c:dPt>
          <c:dPt>
            <c:idx val="5"/>
            <c:bubble3D val="0"/>
            <c:spPr>
              <a:solidFill>
                <a:srgbClr val="FF9900"/>
              </a:solidFill>
            </c:spPr>
            <c:extLst xmlns:c16r2="http://schemas.microsoft.com/office/drawing/2015/06/chart">
              <c:ext xmlns:c16="http://schemas.microsoft.com/office/drawing/2014/chart" uri="{C3380CC4-5D6E-409C-BE32-E72D297353CC}">
                <c16:uniqueId val="{0000000B-F7B9-46EB-BBF3-75EB6E629F2E}"/>
              </c:ext>
            </c:extLst>
          </c:dPt>
          <c:dPt>
            <c:idx val="6"/>
            <c:bubble3D val="0"/>
            <c:spPr>
              <a:solidFill>
                <a:srgbClr val="E1AAA9"/>
              </a:solidFill>
            </c:spPr>
            <c:extLst xmlns:c16r2="http://schemas.microsoft.com/office/drawing/2015/06/chart">
              <c:ext xmlns:c16="http://schemas.microsoft.com/office/drawing/2014/chart" uri="{C3380CC4-5D6E-409C-BE32-E72D297353CC}">
                <c16:uniqueId val="{0000000D-F7B9-46EB-BBF3-75EB6E629F2E}"/>
              </c:ext>
            </c:extLst>
          </c:dPt>
          <c:dPt>
            <c:idx val="7"/>
            <c:bubble3D val="0"/>
            <c:spPr>
              <a:solidFill>
                <a:srgbClr val="CD7371"/>
              </a:solidFill>
            </c:spPr>
            <c:extLst xmlns:c16r2="http://schemas.microsoft.com/office/drawing/2015/06/chart">
              <c:ext xmlns:c16="http://schemas.microsoft.com/office/drawing/2014/chart" uri="{C3380CC4-5D6E-409C-BE32-E72D297353CC}">
                <c16:uniqueId val="{0000000F-F7B9-46EB-BBF3-75EB6E629F2E}"/>
              </c:ext>
            </c:extLst>
          </c:dPt>
          <c:dPt>
            <c:idx val="8"/>
            <c:bubble3D val="0"/>
            <c:spPr>
              <a:solidFill>
                <a:srgbClr val="CDE1AF"/>
              </a:solidFill>
            </c:spPr>
            <c:extLst xmlns:c16r2="http://schemas.microsoft.com/office/drawing/2015/06/chart">
              <c:ext xmlns:c16="http://schemas.microsoft.com/office/drawing/2014/chart" uri="{C3380CC4-5D6E-409C-BE32-E72D297353CC}">
                <c16:uniqueId val="{00000011-F7B9-46EB-BBF3-75EB6E629F2E}"/>
              </c:ext>
            </c:extLst>
          </c:dPt>
          <c:dPt>
            <c:idx val="9"/>
            <c:bubble3D val="0"/>
            <c:spPr>
              <a:solidFill>
                <a:srgbClr val="B4CD82"/>
              </a:solidFill>
            </c:spPr>
            <c:extLst xmlns:c16r2="http://schemas.microsoft.com/office/drawing/2015/06/chart">
              <c:ext xmlns:c16="http://schemas.microsoft.com/office/drawing/2014/chart" uri="{C3380CC4-5D6E-409C-BE32-E72D297353CC}">
                <c16:uniqueId val="{00000013-F7B9-46EB-BBF3-75EB6E629F2E}"/>
              </c:ext>
            </c:extLst>
          </c:dPt>
          <c:dPt>
            <c:idx val="10"/>
            <c:bubble3D val="0"/>
            <c:spPr>
              <a:solidFill>
                <a:srgbClr val="91B44A"/>
              </a:solidFill>
            </c:spPr>
            <c:extLst xmlns:c16r2="http://schemas.microsoft.com/office/drawing/2015/06/chart">
              <c:ext xmlns:c16="http://schemas.microsoft.com/office/drawing/2014/chart" uri="{C3380CC4-5D6E-409C-BE32-E72D297353CC}">
                <c16:uniqueId val="{00000015-F7B9-46EB-BBF3-75EB6E629F2E}"/>
              </c:ext>
            </c:extLst>
          </c:dPt>
          <c:dPt>
            <c:idx val="11"/>
            <c:bubble3D val="0"/>
            <c:spPr>
              <a:solidFill>
                <a:schemeClr val="accent3">
                  <a:lumMod val="75000"/>
                </a:schemeClr>
              </a:solidFill>
            </c:spPr>
            <c:extLst xmlns:c16r2="http://schemas.microsoft.com/office/drawing/2015/06/chart">
              <c:ext xmlns:c16="http://schemas.microsoft.com/office/drawing/2014/chart" uri="{C3380CC4-5D6E-409C-BE32-E72D297353CC}">
                <c16:uniqueId val="{00000017-F7B9-46EB-BBF3-75EB6E629F2E}"/>
              </c:ext>
            </c:extLst>
          </c:dPt>
          <c:dPt>
            <c:idx val="12"/>
            <c:bubble3D val="0"/>
            <c:spPr>
              <a:solidFill>
                <a:srgbClr val="B8AF82"/>
              </a:solidFill>
            </c:spPr>
            <c:extLst xmlns:c16r2="http://schemas.microsoft.com/office/drawing/2015/06/chart">
              <c:ext xmlns:c16="http://schemas.microsoft.com/office/drawing/2014/chart" uri="{C3380CC4-5D6E-409C-BE32-E72D297353CC}">
                <c16:uniqueId val="{00000019-F7B9-46EB-BBF3-75EB6E629F2E}"/>
              </c:ext>
            </c:extLst>
          </c:dPt>
          <c:dPt>
            <c:idx val="13"/>
            <c:bubble3D val="0"/>
            <c:spPr>
              <a:solidFill>
                <a:srgbClr val="887E4E"/>
              </a:solidFill>
            </c:spPr>
            <c:extLst xmlns:c16r2="http://schemas.microsoft.com/office/drawing/2015/06/chart">
              <c:ext xmlns:c16="http://schemas.microsoft.com/office/drawing/2014/chart" uri="{C3380CC4-5D6E-409C-BE32-E72D297353CC}">
                <c16:uniqueId val="{0000001B-F7B9-46EB-BBF3-75EB6E629F2E}"/>
              </c:ext>
            </c:extLst>
          </c:dPt>
          <c:dPt>
            <c:idx val="14"/>
            <c:bubble3D val="0"/>
            <c:spPr>
              <a:solidFill>
                <a:schemeClr val="accent4">
                  <a:lumMod val="40000"/>
                  <a:lumOff val="60000"/>
                </a:schemeClr>
              </a:solidFill>
            </c:spPr>
            <c:extLst xmlns:c16r2="http://schemas.microsoft.com/office/drawing/2015/06/chart">
              <c:ext xmlns:c16="http://schemas.microsoft.com/office/drawing/2014/chart" uri="{C3380CC4-5D6E-409C-BE32-E72D297353CC}">
                <c16:uniqueId val="{0000001D-F7B9-46EB-BBF3-75EB6E629F2E}"/>
              </c:ext>
            </c:extLst>
          </c:dPt>
          <c:dPt>
            <c:idx val="15"/>
            <c:bubble3D val="0"/>
            <c:spPr>
              <a:solidFill>
                <a:schemeClr val="accent4">
                  <a:lumMod val="60000"/>
                  <a:lumOff val="40000"/>
                </a:schemeClr>
              </a:solidFill>
            </c:spPr>
            <c:extLst xmlns:c16r2="http://schemas.microsoft.com/office/drawing/2015/06/chart">
              <c:ext xmlns:c16="http://schemas.microsoft.com/office/drawing/2014/chart" uri="{C3380CC4-5D6E-409C-BE32-E72D297353CC}">
                <c16:uniqueId val="{0000001F-F7B9-46EB-BBF3-75EB6E629F2E}"/>
              </c:ext>
            </c:extLst>
          </c:dPt>
          <c:dLbls>
            <c:dLbl>
              <c:idx val="0"/>
              <c:layout>
                <c:manualLayout>
                  <c:x val="7.9642347717073896E-3"/>
                  <c:y val="-2.2668878021510623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7B9-46EB-BBF3-75EB6E629F2E}"/>
                </c:ext>
              </c:extLst>
            </c:dLbl>
            <c:dLbl>
              <c:idx val="1"/>
              <c:layout>
                <c:manualLayout>
                  <c:x val="-0.12690524335673395"/>
                  <c:y val="0.13291031612383855"/>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7B9-46EB-BBF3-75EB6E629F2E}"/>
                </c:ext>
              </c:extLst>
            </c:dLbl>
            <c:dLbl>
              <c:idx val="2"/>
              <c:layout>
                <c:manualLayout>
                  <c:x val="-0.16678865516492422"/>
                  <c:y val="-4.7061708029261941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B9-46EB-BBF3-75EB6E629F2E}"/>
                </c:ext>
              </c:extLst>
            </c:dLbl>
            <c:dLbl>
              <c:idx val="3"/>
              <c:layout>
                <c:manualLayout>
                  <c:x val="0.12987567652016191"/>
                  <c:y val="-0.10066114447307375"/>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7B9-46EB-BBF3-75EB6E629F2E}"/>
                </c:ext>
              </c:extLst>
            </c:dLbl>
            <c:dLbl>
              <c:idx val="4"/>
              <c:layout>
                <c:manualLayout>
                  <c:x val="0.15437567715524303"/>
                  <c:y val="-4.103514672778312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7B9-46EB-BBF3-75EB6E629F2E}"/>
                </c:ext>
              </c:extLst>
            </c:dLbl>
            <c:dLbl>
              <c:idx val="5"/>
              <c:layout>
                <c:manualLayout>
                  <c:x val="0.18421448721645214"/>
                  <c:y val="1.6711185935977077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7B9-46EB-BBF3-75EB6E629F2E}"/>
                </c:ext>
              </c:extLst>
            </c:dLbl>
            <c:dLbl>
              <c:idx val="6"/>
              <c:layout>
                <c:manualLayout>
                  <c:x val="0.13245474094406079"/>
                  <c:y val="8.1781890991139097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7B9-46EB-BBF3-75EB6E629F2E}"/>
                </c:ext>
              </c:extLst>
            </c:dLbl>
            <c:dLbl>
              <c:idx val="7"/>
              <c:layout>
                <c:manualLayout>
                  <c:x val="-5.1653844823886567E-2"/>
                  <c:y val="5.5054667064766527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7B9-46EB-BBF3-75EB6E629F2E}"/>
                </c:ext>
              </c:extLst>
            </c:dLbl>
            <c:dLbl>
              <c:idx val="8"/>
              <c:layout>
                <c:manualLayout>
                  <c:x val="-3.0876475309288175E-2"/>
                  <c:y val="-8.5834125192715965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F7B9-46EB-BBF3-75EB6E629F2E}"/>
                </c:ext>
              </c:extLst>
            </c:dLbl>
            <c:dLbl>
              <c:idx val="9"/>
              <c:layout>
                <c:manualLayout>
                  <c:x val="3.0880896362152403E-2"/>
                  <c:y val="3.3219535721084617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F7B9-46EB-BBF3-75EB6E629F2E}"/>
                </c:ext>
              </c:extLst>
            </c:dLbl>
            <c:dLbl>
              <c:idx val="10"/>
              <c:layout>
                <c:manualLayout>
                  <c:x val="-5.0508160553061079E-2"/>
                  <c:y val="1.7496609993961883E-3"/>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F7B9-46EB-BBF3-75EB6E629F2E}"/>
                </c:ext>
              </c:extLst>
            </c:dLbl>
            <c:dLbl>
              <c:idx val="11"/>
              <c:layout>
                <c:manualLayout>
                  <c:x val="-0.13708579668872614"/>
                  <c:y val="-4.1537844418456246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F7B9-46EB-BBF3-75EB6E629F2E}"/>
                </c:ext>
              </c:extLst>
            </c:dLbl>
            <c:dLbl>
              <c:idx val="12"/>
              <c:layout>
                <c:manualLayout>
                  <c:x val="-7.7949062683776604E-2"/>
                  <c:y val="-0.22304517457033485"/>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F7B9-46EB-BBF3-75EB6E629F2E}"/>
                </c:ext>
              </c:extLst>
            </c:dLbl>
            <c:dLbl>
              <c:idx val="13"/>
              <c:layout>
                <c:manualLayout>
                  <c:x val="-3.378862725376322E-2"/>
                  <c:y val="2.7442209660196462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F7B9-46EB-BBF3-75EB6E629F2E}"/>
                </c:ext>
              </c:extLst>
            </c:dLbl>
            <c:dLbl>
              <c:idx val="14"/>
              <c:layout>
                <c:manualLayout>
                  <c:x val="0.18067430364475381"/>
                  <c:y val="0.11536917817539773"/>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F7B9-46EB-BBF3-75EB6E629F2E}"/>
                </c:ext>
              </c:extLst>
            </c:dLbl>
            <c:dLbl>
              <c:idx val="15"/>
              <c:layout>
                <c:manualLayout>
                  <c:x val="-6.780944658024661E-2"/>
                  <c:y val="0"/>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F7B9-46EB-BBF3-75EB6E629F2E}"/>
                </c:ext>
              </c:extLst>
            </c:dLbl>
            <c:numFmt formatCode="0.0%" sourceLinked="0"/>
            <c:spPr>
              <a:noFill/>
              <a:ln>
                <a:noFill/>
              </a:ln>
              <a:effectLst/>
            </c:spPr>
            <c:txPr>
              <a:bodyPr/>
              <a:lstStyle/>
              <a:p>
                <a:pPr>
                  <a:defRPr sz="1050"/>
                </a:pPr>
                <a:endParaRPr lang="nl-NL"/>
              </a:p>
            </c:txPr>
            <c:dLblPos val="bestFit"/>
            <c:showLegendKey val="0"/>
            <c:showVal val="0"/>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Resultaatgrafiek!$A$50:$A$65</c:f>
              <c:strCache>
                <c:ptCount val="16"/>
                <c:pt idx="0">
                  <c:v>Waterkracht</c:v>
                </c:pt>
                <c:pt idx="1">
                  <c:v>Wind op Land</c:v>
                </c:pt>
                <c:pt idx="2">
                  <c:v>Wind op Zee</c:v>
                </c:pt>
                <c:pt idx="3">
                  <c:v>Zon PV (groot)</c:v>
                </c:pt>
                <c:pt idx="4">
                  <c:v>Zon PV (klein)</c:v>
                </c:pt>
                <c:pt idx="5">
                  <c:v>Zon thermisch</c:v>
                </c:pt>
                <c:pt idx="6">
                  <c:v>Geothermie</c:v>
                </c:pt>
                <c:pt idx="7">
                  <c:v>WKO + warmtepompen</c:v>
                </c:pt>
                <c:pt idx="8">
                  <c:v>Biomassa - tbv elektriciteit</c:v>
                </c:pt>
                <c:pt idx="9">
                  <c:v>Biomassa - tbv warmte</c:v>
                </c:pt>
                <c:pt idx="10">
                  <c:v>Houtkachels bij particulieren</c:v>
                </c:pt>
                <c:pt idx="11">
                  <c:v>Biobrandstof bijmengen - tbv vervoer</c:v>
                </c:pt>
                <c:pt idx="12">
                  <c:v>Schone voertuigen (inc fiscale maatregelen zuinige auto's algemeen tm 2014)</c:v>
                </c:pt>
                <c:pt idx="13">
                  <c:v>Energienetwerk uitbreiden (incl. stopcontact op zee, energieopslag, netverzwaring, vervroegd afschrijven fossiele centrales)</c:v>
                </c:pt>
                <c:pt idx="14">
                  <c:v>Energiebesparing</c:v>
                </c:pt>
                <c:pt idx="15">
                  <c:v>Overig i.e. CCS, emissiehandel en innovatie</c:v>
                </c:pt>
              </c:strCache>
            </c:strRef>
          </c:cat>
          <c:val>
            <c:numRef>
              <c:f>Resultaatgrafiek!$K$50:$K$65</c:f>
              <c:numCache>
                <c:formatCode>_ * #,##0.0_ ;_ * \-#,##0.0_ ;_ * "-"??_ ;_ @_ </c:formatCode>
                <c:ptCount val="16"/>
                <c:pt idx="0">
                  <c:v>5.7567777777777773E-2</c:v>
                </c:pt>
                <c:pt idx="1">
                  <c:v>7.6825667422777792</c:v>
                </c:pt>
                <c:pt idx="2">
                  <c:v>8.9481741880000012</c:v>
                </c:pt>
                <c:pt idx="3">
                  <c:v>0.18302235750000001</c:v>
                </c:pt>
                <c:pt idx="4">
                  <c:v>1.3886400000000001</c:v>
                </c:pt>
                <c:pt idx="5">
                  <c:v>9.3039821618305069E-2</c:v>
                </c:pt>
                <c:pt idx="6">
                  <c:v>0.20369550940544418</c:v>
                </c:pt>
                <c:pt idx="7">
                  <c:v>0.38303423322309177</c:v>
                </c:pt>
                <c:pt idx="8">
                  <c:v>3.6601944444444445</c:v>
                </c:pt>
                <c:pt idx="9">
                  <c:v>1.5693885338880322</c:v>
                </c:pt>
                <c:pt idx="10">
                  <c:v>0.95564564429745558</c:v>
                </c:pt>
                <c:pt idx="11">
                  <c:v>1.6729040750390753</c:v>
                </c:pt>
                <c:pt idx="12" formatCode="_(* #,##0.00_);_(* \(#,##0.00\);_(* &quot;-&quot;??_);_(@_)">
                  <c:v>0.315</c:v>
                </c:pt>
                <c:pt idx="14">
                  <c:v>16.280166096726919</c:v>
                </c:pt>
              </c:numCache>
            </c:numRef>
          </c:val>
          <c:extLst xmlns:c16r2="http://schemas.microsoft.com/office/drawing/2015/06/chart">
            <c:ext xmlns:c16="http://schemas.microsoft.com/office/drawing/2014/chart" uri="{C3380CC4-5D6E-409C-BE32-E72D297353CC}">
              <c16:uniqueId val="{00000020-F7B9-46EB-BBF3-75EB6E629F2E}"/>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w="12700">
      <a:solidFill>
        <a:schemeClr val="tx2">
          <a:lumMod val="40000"/>
          <a:lumOff val="60000"/>
        </a:schemeClr>
      </a:solidFill>
    </a:ln>
    <a:effectLst>
      <a:outerShdw blurRad="50800" dist="38100" dir="2700000" algn="tl" rotWithShape="0">
        <a:prstClr val="black">
          <a:alpha val="40000"/>
        </a:prstClr>
      </a:outerShdw>
    </a:effectLst>
    <a:scene3d>
      <a:camera prst="orthographicFront"/>
      <a:lightRig rig="threePt" dir="t"/>
    </a:scene3d>
    <a:sp3d/>
  </c:spPr>
  <c:txPr>
    <a:bodyPr/>
    <a:lstStyle/>
    <a:p>
      <a:pPr>
        <a:defRPr sz="1100"/>
      </a:pPr>
      <a:endParaRPr lang="nl-NL"/>
    </a:p>
  </c:txPr>
  <c:printSettings>
    <c:headerFooter/>
    <c:pageMargins b="0.75" l="0.7" r="0.7" t="0.75" header="0.3" footer="0.3"/>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marker>
            <c:symbol val="none"/>
          </c:marker>
          <c:xVal>
            <c:numRef>
              <c:f>[1]Blad1!$D$4:$D$22</c:f>
              <c:numCache>
                <c:formatCode>General</c:formatCode>
                <c:ptCount val="19"/>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numCache>
            </c:numRef>
          </c:xVal>
          <c:yVal>
            <c:numRef>
              <c:f>[1]Blad1!$E$4:$E$22</c:f>
              <c:numCache>
                <c:formatCode>General</c:formatCode>
                <c:ptCount val="19"/>
                <c:pt idx="0">
                  <c:v>174631</c:v>
                </c:pt>
                <c:pt idx="1">
                  <c:v>164879</c:v>
                </c:pt>
                <c:pt idx="2">
                  <c:v>171704</c:v>
                </c:pt>
                <c:pt idx="3">
                  <c:v>181671</c:v>
                </c:pt>
                <c:pt idx="4">
                  <c:v>179106</c:v>
                </c:pt>
                <c:pt idx="5">
                  <c:v>177287</c:v>
                </c:pt>
                <c:pt idx="6">
                  <c:v>194190</c:v>
                </c:pt>
                <c:pt idx="7">
                  <c:v>200208</c:v>
                </c:pt>
                <c:pt idx="8">
                  <c:v>200700</c:v>
                </c:pt>
                <c:pt idx="9">
                  <c:v>209903</c:v>
                </c:pt>
                <c:pt idx="10">
                  <c:v>221017</c:v>
                </c:pt>
                <c:pt idx="11">
                  <c:v>228311</c:v>
                </c:pt>
                <c:pt idx="12">
                  <c:v>222315</c:v>
                </c:pt>
                <c:pt idx="13">
                  <c:v>210895</c:v>
                </c:pt>
                <c:pt idx="14">
                  <c:v>191196</c:v>
                </c:pt>
                <c:pt idx="15">
                  <c:v>180390</c:v>
                </c:pt>
                <c:pt idx="16">
                  <c:v>171020</c:v>
                </c:pt>
                <c:pt idx="17">
                  <c:v>158218</c:v>
                </c:pt>
                <c:pt idx="18">
                  <c:v>152029</c:v>
                </c:pt>
              </c:numCache>
            </c:numRef>
          </c:yVal>
          <c:smooth val="1"/>
        </c:ser>
        <c:dLbls>
          <c:showLegendKey val="0"/>
          <c:showVal val="0"/>
          <c:showCatName val="0"/>
          <c:showSerName val="0"/>
          <c:showPercent val="0"/>
          <c:showBubbleSize val="0"/>
        </c:dLbls>
        <c:axId val="365118208"/>
        <c:axId val="365119744"/>
      </c:scatterChart>
      <c:valAx>
        <c:axId val="365118208"/>
        <c:scaling>
          <c:orientation val="minMax"/>
        </c:scaling>
        <c:delete val="0"/>
        <c:axPos val="b"/>
        <c:numFmt formatCode="General" sourceLinked="1"/>
        <c:majorTickMark val="out"/>
        <c:minorTickMark val="none"/>
        <c:tickLblPos val="nextTo"/>
        <c:crossAx val="365119744"/>
        <c:crosses val="autoZero"/>
        <c:crossBetween val="midCat"/>
      </c:valAx>
      <c:valAx>
        <c:axId val="365119744"/>
        <c:scaling>
          <c:orientation val="minMax"/>
        </c:scaling>
        <c:delete val="0"/>
        <c:axPos val="l"/>
        <c:majorGridlines/>
        <c:numFmt formatCode="General" sourceLinked="1"/>
        <c:majorTickMark val="out"/>
        <c:minorTickMark val="none"/>
        <c:tickLblPos val="nextTo"/>
        <c:crossAx val="365118208"/>
        <c:crosses val="autoZero"/>
        <c:crossBetween val="midCat"/>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strRef>
              <c:f>[1]Blad1!$D$46:$E$50</c:f>
              <c:strCache>
                <c:ptCount val="2"/>
              </c:strCache>
            </c:strRef>
          </c:xVal>
          <c:yVal>
            <c:numRef>
              <c:f>[1]Blad1!$F$46:$F$50</c:f>
              <c:numCache>
                <c:formatCode>General</c:formatCode>
                <c:ptCount val="5"/>
                <c:pt idx="0">
                  <c:v>898064</c:v>
                </c:pt>
                <c:pt idx="1">
                  <c:v>983898</c:v>
                </c:pt>
                <c:pt idx="2">
                  <c:v>1076104</c:v>
                </c:pt>
                <c:pt idx="3">
                  <c:v>961568</c:v>
                </c:pt>
                <c:pt idx="4">
                  <c:v>966027</c:v>
                </c:pt>
              </c:numCache>
            </c:numRef>
          </c:yVal>
          <c:smooth val="0"/>
        </c:ser>
        <c:dLbls>
          <c:showLegendKey val="0"/>
          <c:showVal val="0"/>
          <c:showCatName val="0"/>
          <c:showSerName val="0"/>
          <c:showPercent val="0"/>
          <c:showBubbleSize val="0"/>
        </c:dLbls>
        <c:axId val="365143552"/>
        <c:axId val="365145088"/>
      </c:scatterChart>
      <c:valAx>
        <c:axId val="365143552"/>
        <c:scaling>
          <c:orientation val="minMax"/>
        </c:scaling>
        <c:delete val="0"/>
        <c:axPos val="b"/>
        <c:majorTickMark val="out"/>
        <c:minorTickMark val="none"/>
        <c:tickLblPos val="nextTo"/>
        <c:crossAx val="365145088"/>
        <c:crosses val="autoZero"/>
        <c:crossBetween val="midCat"/>
      </c:valAx>
      <c:valAx>
        <c:axId val="365145088"/>
        <c:scaling>
          <c:orientation val="minMax"/>
        </c:scaling>
        <c:delete val="0"/>
        <c:axPos val="l"/>
        <c:majorGridlines/>
        <c:numFmt formatCode="General" sourceLinked="1"/>
        <c:majorTickMark val="out"/>
        <c:minorTickMark val="none"/>
        <c:tickLblPos val="nextTo"/>
        <c:crossAx val="365143552"/>
        <c:crosses val="autoZero"/>
        <c:crossBetween val="midCat"/>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xVal>
            <c:strRef>
              <c:f>[1]Blad1!$D$61:$E$65</c:f>
              <c:strCache>
                <c:ptCount val="2"/>
              </c:strCache>
            </c:strRef>
          </c:xVal>
          <c:yVal>
            <c:numRef>
              <c:f>[1]Blad1!$F$61:$F$65</c:f>
              <c:numCache>
                <c:formatCode>General</c:formatCode>
                <c:ptCount val="5"/>
                <c:pt idx="0">
                  <c:v>418329</c:v>
                </c:pt>
                <c:pt idx="1">
                  <c:v>391235</c:v>
                </c:pt>
                <c:pt idx="2">
                  <c:v>457029</c:v>
                </c:pt>
                <c:pt idx="3">
                  <c:v>369275</c:v>
                </c:pt>
                <c:pt idx="4">
                  <c:v>357847</c:v>
                </c:pt>
              </c:numCache>
            </c:numRef>
          </c:yVal>
          <c:smooth val="0"/>
        </c:ser>
        <c:dLbls>
          <c:showLegendKey val="0"/>
          <c:showVal val="0"/>
          <c:showCatName val="0"/>
          <c:showSerName val="0"/>
          <c:showPercent val="0"/>
          <c:showBubbleSize val="0"/>
        </c:dLbls>
        <c:axId val="365161088"/>
        <c:axId val="366952832"/>
      </c:scatterChart>
      <c:valAx>
        <c:axId val="365161088"/>
        <c:scaling>
          <c:orientation val="minMax"/>
        </c:scaling>
        <c:delete val="0"/>
        <c:axPos val="b"/>
        <c:majorTickMark val="out"/>
        <c:minorTickMark val="none"/>
        <c:tickLblPos val="nextTo"/>
        <c:crossAx val="366952832"/>
        <c:crosses val="autoZero"/>
        <c:crossBetween val="midCat"/>
      </c:valAx>
      <c:valAx>
        <c:axId val="366952832"/>
        <c:scaling>
          <c:orientation val="minMax"/>
        </c:scaling>
        <c:delete val="0"/>
        <c:axPos val="l"/>
        <c:majorGridlines/>
        <c:numFmt formatCode="General" sourceLinked="1"/>
        <c:majorTickMark val="out"/>
        <c:minorTickMark val="none"/>
        <c:tickLblPos val="nextTo"/>
        <c:crossAx val="365161088"/>
        <c:crosses val="autoZero"/>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05993741191599"/>
          <c:y val="0.15234654368040396"/>
          <c:w val="0.56780192839421684"/>
          <c:h val="0.75901247065083433"/>
        </c:manualLayout>
      </c:layout>
      <c:pieChart>
        <c:varyColors val="1"/>
        <c:ser>
          <c:idx val="0"/>
          <c:order val="0"/>
          <c:explosion val="1"/>
          <c:dPt>
            <c:idx val="0"/>
            <c:bubble3D val="0"/>
            <c:spPr>
              <a:solidFill>
                <a:schemeClr val="accent4">
                  <a:lumMod val="75000"/>
                </a:schemeClr>
              </a:solidFill>
            </c:spPr>
            <c:extLst xmlns:c16r2="http://schemas.microsoft.com/office/drawing/2015/06/chart">
              <c:ext xmlns:c16="http://schemas.microsoft.com/office/drawing/2014/chart" uri="{C3380CC4-5D6E-409C-BE32-E72D297353CC}">
                <c16:uniqueId val="{00000001-5FD9-4ADA-B98E-CC99ADCFF763}"/>
              </c:ext>
            </c:extLst>
          </c:dPt>
          <c:dPt>
            <c:idx val="1"/>
            <c:bubble3D val="0"/>
            <c:spPr>
              <a:solidFill>
                <a:srgbClr val="C8D7EC"/>
              </a:solidFill>
            </c:spPr>
            <c:extLst xmlns:c16r2="http://schemas.microsoft.com/office/drawing/2015/06/chart">
              <c:ext xmlns:c16="http://schemas.microsoft.com/office/drawing/2014/chart" uri="{C3380CC4-5D6E-409C-BE32-E72D297353CC}">
                <c16:uniqueId val="{00000003-5FD9-4ADA-B98E-CC99ADCFF763}"/>
              </c:ext>
            </c:extLst>
          </c:dPt>
          <c:dPt>
            <c:idx val="2"/>
            <c:bubble3D val="0"/>
            <c:spPr>
              <a:solidFill>
                <a:srgbClr val="9AB7DA"/>
              </a:solidFill>
            </c:spPr>
            <c:extLst xmlns:c16r2="http://schemas.microsoft.com/office/drawing/2015/06/chart">
              <c:ext xmlns:c16="http://schemas.microsoft.com/office/drawing/2014/chart" uri="{C3380CC4-5D6E-409C-BE32-E72D297353CC}">
                <c16:uniqueId val="{00000005-5FD9-4ADA-B98E-CC99ADCFF763}"/>
              </c:ext>
            </c:extLst>
          </c:dPt>
          <c:dPt>
            <c:idx val="3"/>
            <c:bubble3D val="0"/>
            <c:spPr>
              <a:solidFill>
                <a:srgbClr val="FFFF00"/>
              </a:solidFill>
            </c:spPr>
            <c:extLst xmlns:c16r2="http://schemas.microsoft.com/office/drawing/2015/06/chart">
              <c:ext xmlns:c16="http://schemas.microsoft.com/office/drawing/2014/chart" uri="{C3380CC4-5D6E-409C-BE32-E72D297353CC}">
                <c16:uniqueId val="{00000007-5FD9-4ADA-B98E-CC99ADCFF763}"/>
              </c:ext>
            </c:extLst>
          </c:dPt>
          <c:dPt>
            <c:idx val="4"/>
            <c:bubble3D val="0"/>
            <c:spPr>
              <a:solidFill>
                <a:srgbClr val="FFCC00"/>
              </a:solidFill>
            </c:spPr>
            <c:extLst xmlns:c16r2="http://schemas.microsoft.com/office/drawing/2015/06/chart">
              <c:ext xmlns:c16="http://schemas.microsoft.com/office/drawing/2014/chart" uri="{C3380CC4-5D6E-409C-BE32-E72D297353CC}">
                <c16:uniqueId val="{00000009-5FD9-4ADA-B98E-CC99ADCFF763}"/>
              </c:ext>
            </c:extLst>
          </c:dPt>
          <c:dPt>
            <c:idx val="5"/>
            <c:bubble3D val="0"/>
            <c:spPr>
              <a:solidFill>
                <a:srgbClr val="FF9900"/>
              </a:solidFill>
            </c:spPr>
            <c:extLst xmlns:c16r2="http://schemas.microsoft.com/office/drawing/2015/06/chart">
              <c:ext xmlns:c16="http://schemas.microsoft.com/office/drawing/2014/chart" uri="{C3380CC4-5D6E-409C-BE32-E72D297353CC}">
                <c16:uniqueId val="{0000000B-5FD9-4ADA-B98E-CC99ADCFF763}"/>
              </c:ext>
            </c:extLst>
          </c:dPt>
          <c:dPt>
            <c:idx val="6"/>
            <c:bubble3D val="0"/>
            <c:spPr>
              <a:solidFill>
                <a:srgbClr val="E1AAA9"/>
              </a:solidFill>
            </c:spPr>
            <c:extLst xmlns:c16r2="http://schemas.microsoft.com/office/drawing/2015/06/chart">
              <c:ext xmlns:c16="http://schemas.microsoft.com/office/drawing/2014/chart" uri="{C3380CC4-5D6E-409C-BE32-E72D297353CC}">
                <c16:uniqueId val="{0000000D-5FD9-4ADA-B98E-CC99ADCFF763}"/>
              </c:ext>
            </c:extLst>
          </c:dPt>
          <c:dPt>
            <c:idx val="7"/>
            <c:bubble3D val="0"/>
            <c:spPr>
              <a:solidFill>
                <a:srgbClr val="CD7371"/>
              </a:solidFill>
            </c:spPr>
            <c:extLst xmlns:c16r2="http://schemas.microsoft.com/office/drawing/2015/06/chart">
              <c:ext xmlns:c16="http://schemas.microsoft.com/office/drawing/2014/chart" uri="{C3380CC4-5D6E-409C-BE32-E72D297353CC}">
                <c16:uniqueId val="{0000000F-5FD9-4ADA-B98E-CC99ADCFF763}"/>
              </c:ext>
            </c:extLst>
          </c:dPt>
          <c:dPt>
            <c:idx val="8"/>
            <c:bubble3D val="0"/>
            <c:spPr>
              <a:solidFill>
                <a:srgbClr val="CDE1AF"/>
              </a:solidFill>
            </c:spPr>
            <c:extLst xmlns:c16r2="http://schemas.microsoft.com/office/drawing/2015/06/chart">
              <c:ext xmlns:c16="http://schemas.microsoft.com/office/drawing/2014/chart" uri="{C3380CC4-5D6E-409C-BE32-E72D297353CC}">
                <c16:uniqueId val="{00000011-5FD9-4ADA-B98E-CC99ADCFF763}"/>
              </c:ext>
            </c:extLst>
          </c:dPt>
          <c:dPt>
            <c:idx val="9"/>
            <c:bubble3D val="0"/>
            <c:spPr>
              <a:solidFill>
                <a:srgbClr val="B4CD82"/>
              </a:solidFill>
            </c:spPr>
            <c:extLst xmlns:c16r2="http://schemas.microsoft.com/office/drawing/2015/06/chart">
              <c:ext xmlns:c16="http://schemas.microsoft.com/office/drawing/2014/chart" uri="{C3380CC4-5D6E-409C-BE32-E72D297353CC}">
                <c16:uniqueId val="{00000013-5FD9-4ADA-B98E-CC99ADCFF763}"/>
              </c:ext>
            </c:extLst>
          </c:dPt>
          <c:dPt>
            <c:idx val="10"/>
            <c:bubble3D val="0"/>
            <c:spPr>
              <a:solidFill>
                <a:srgbClr val="91B44A"/>
              </a:solidFill>
            </c:spPr>
            <c:extLst xmlns:c16r2="http://schemas.microsoft.com/office/drawing/2015/06/chart">
              <c:ext xmlns:c16="http://schemas.microsoft.com/office/drawing/2014/chart" uri="{C3380CC4-5D6E-409C-BE32-E72D297353CC}">
                <c16:uniqueId val="{00000015-5FD9-4ADA-B98E-CC99ADCFF763}"/>
              </c:ext>
            </c:extLst>
          </c:dPt>
          <c:dPt>
            <c:idx val="11"/>
            <c:bubble3D val="0"/>
            <c:spPr>
              <a:solidFill>
                <a:schemeClr val="accent3">
                  <a:lumMod val="75000"/>
                </a:schemeClr>
              </a:solidFill>
            </c:spPr>
            <c:extLst xmlns:c16r2="http://schemas.microsoft.com/office/drawing/2015/06/chart">
              <c:ext xmlns:c16="http://schemas.microsoft.com/office/drawing/2014/chart" uri="{C3380CC4-5D6E-409C-BE32-E72D297353CC}">
                <c16:uniqueId val="{00000017-5FD9-4ADA-B98E-CC99ADCFF763}"/>
              </c:ext>
            </c:extLst>
          </c:dPt>
          <c:dLbls>
            <c:dLbl>
              <c:idx val="0"/>
              <c:layout>
                <c:manualLayout>
                  <c:x val="2.2188312032056637E-2"/>
                  <c:y val="-7.2670759603550069E-3"/>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FD9-4ADA-B98E-CC99ADCFF763}"/>
                </c:ext>
              </c:extLst>
            </c:dLbl>
            <c:dLbl>
              <c:idx val="1"/>
              <c:layout>
                <c:manualLayout>
                  <c:x val="-0.11191014873684542"/>
                  <c:y val="0.15963181766069306"/>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FD9-4ADA-B98E-CC99ADCFF763}"/>
                </c:ext>
              </c:extLst>
            </c:dLbl>
            <c:dLbl>
              <c:idx val="2"/>
              <c:layout>
                <c:manualLayout>
                  <c:x val="-0.15892901136215062"/>
                  <c:y val="-5.0103542529730205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FD9-4ADA-B98E-CC99ADCFF763}"/>
                </c:ext>
              </c:extLst>
            </c:dLbl>
            <c:dLbl>
              <c:idx val="3"/>
              <c:layout>
                <c:manualLayout>
                  <c:x val="0.12272482676172099"/>
                  <c:y val="-7.7497191854319733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FD9-4ADA-B98E-CC99ADCFF763}"/>
                </c:ext>
              </c:extLst>
            </c:dLbl>
            <c:dLbl>
              <c:idx val="4"/>
              <c:layout>
                <c:manualLayout>
                  <c:x val="0.14709738592661636"/>
                  <c:y val="-2.5724923183789748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FD9-4ADA-B98E-CC99ADCFF763}"/>
                </c:ext>
              </c:extLst>
            </c:dLbl>
            <c:dLbl>
              <c:idx val="5"/>
              <c:layout>
                <c:manualLayout>
                  <c:x val="0.17759461677366012"/>
                  <c:y val="3.4598563152912695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FD9-4ADA-B98E-CC99ADCFF763}"/>
                </c:ext>
              </c:extLst>
            </c:dLbl>
            <c:dLbl>
              <c:idx val="6"/>
              <c:layout>
                <c:manualLayout>
                  <c:x val="4.8577266748808912E-2"/>
                  <c:y val="4.2419813513027892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FD9-4ADA-B98E-CC99ADCFF763}"/>
                </c:ext>
              </c:extLst>
            </c:dLbl>
            <c:dLbl>
              <c:idx val="7"/>
              <c:layout>
                <c:manualLayout>
                  <c:x val="-3.459159910799784E-2"/>
                  <c:y val="0"/>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FD9-4ADA-B98E-CC99ADCFF763}"/>
                </c:ext>
              </c:extLst>
            </c:dLbl>
            <c:dLbl>
              <c:idx val="8"/>
              <c:layout>
                <c:manualLayout>
                  <c:x val="0.10353974140982906"/>
                  <c:y val="-0.15520939883096821"/>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5FD9-4ADA-B98E-CC99ADCFF763}"/>
                </c:ext>
              </c:extLst>
            </c:dLbl>
            <c:dLbl>
              <c:idx val="9"/>
              <c:layout>
                <c:manualLayout>
                  <c:x val="-3.4033739441793172E-2"/>
                  <c:y val="1.6658552572803499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5FD9-4ADA-B98E-CC99ADCFF763}"/>
                </c:ext>
              </c:extLst>
            </c:dLbl>
            <c:dLbl>
              <c:idx val="10"/>
              <c:layout>
                <c:manualLayout>
                  <c:x val="-4.4017192800035021E-2"/>
                  <c:y val="1.456064014972522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5FD9-4ADA-B98E-CC99ADCFF763}"/>
                </c:ext>
              </c:extLst>
            </c:dLbl>
            <c:dLbl>
              <c:idx val="11"/>
              <c:layout>
                <c:manualLayout>
                  <c:x val="-5.53424498718579E-2"/>
                  <c:y val="1.0619859888838587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5FD9-4ADA-B98E-CC99ADCFF763}"/>
                </c:ext>
              </c:extLst>
            </c:dLbl>
            <c:dLbl>
              <c:idx val="12"/>
              <c:layout>
                <c:manualLayout>
                  <c:x val="-2.7934229937189605E-2"/>
                  <c:y val="-4.6047056439945624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5FD9-4ADA-B98E-CC99ADCFF763}"/>
                </c:ext>
              </c:extLst>
            </c:dLbl>
            <c:dLbl>
              <c:idx val="13"/>
              <c:layout>
                <c:manualLayout>
                  <c:x val="-3.9635631860926619E-2"/>
                  <c:y val="-5.9410469078227824E-3"/>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5FD9-4ADA-B98E-CC99ADCFF763}"/>
                </c:ext>
              </c:extLst>
            </c:dLbl>
            <c:dLbl>
              <c:idx val="14"/>
              <c:layout>
                <c:manualLayout>
                  <c:x val="-4.5593634639944154E-2"/>
                  <c:y val="-3.8707188399854181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5FD9-4ADA-B98E-CC99ADCFF763}"/>
                </c:ext>
              </c:extLst>
            </c:dLbl>
            <c:dLbl>
              <c:idx val="15"/>
              <c:layout>
                <c:manualLayout>
                  <c:x val="-3.4924698945531813E-3"/>
                  <c:y val="0"/>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5FD9-4ADA-B98E-CC99ADCFF763}"/>
                </c:ext>
              </c:extLst>
            </c:dLbl>
            <c:numFmt formatCode="0.0%" sourceLinked="0"/>
            <c:spPr>
              <a:noFill/>
              <a:ln>
                <a:noFill/>
              </a:ln>
              <a:effectLst/>
            </c:spPr>
            <c:txPr>
              <a:bodyPr/>
              <a:lstStyle/>
              <a:p>
                <a:pPr>
                  <a:defRPr sz="1050"/>
                </a:pPr>
                <a:endParaRPr lang="nl-NL"/>
              </a:p>
            </c:txPr>
            <c:dLblPos val="bestFit"/>
            <c:showLegendKey val="0"/>
            <c:showVal val="0"/>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Resultaatgrafiek!$A$50:$A$61</c:f>
              <c:strCache>
                <c:ptCount val="12"/>
                <c:pt idx="0">
                  <c:v>Waterkracht</c:v>
                </c:pt>
                <c:pt idx="1">
                  <c:v>Wind op Land</c:v>
                </c:pt>
                <c:pt idx="2">
                  <c:v>Wind op Zee</c:v>
                </c:pt>
                <c:pt idx="3">
                  <c:v>Zon PV (groot)</c:v>
                </c:pt>
                <c:pt idx="4">
                  <c:v>Zon PV (klein)</c:v>
                </c:pt>
                <c:pt idx="5">
                  <c:v>Zon thermisch</c:v>
                </c:pt>
                <c:pt idx="6">
                  <c:v>Geothermie</c:v>
                </c:pt>
                <c:pt idx="7">
                  <c:v>WKO + warmtepompen</c:v>
                </c:pt>
                <c:pt idx="8">
                  <c:v>Biomassa - tbv elektriciteit</c:v>
                </c:pt>
                <c:pt idx="9">
                  <c:v>Biomassa - tbv warmte</c:v>
                </c:pt>
                <c:pt idx="10">
                  <c:v>Houtkachels bij particulieren</c:v>
                </c:pt>
                <c:pt idx="11">
                  <c:v>Biobrandstof bijmengen - tbv vervoer</c:v>
                </c:pt>
              </c:strCache>
            </c:strRef>
          </c:cat>
          <c:val>
            <c:numRef>
              <c:f>Resultaatgrafiek!$D$50:$D$61</c:f>
              <c:numCache>
                <c:formatCode>0.00%</c:formatCode>
                <c:ptCount val="12"/>
                <c:pt idx="0">
                  <c:v>1.9504950495049505E-4</c:v>
                </c:pt>
                <c:pt idx="1">
                  <c:v>2.6029853811881196E-2</c:v>
                </c:pt>
                <c:pt idx="2">
                  <c:v>3.0317948910891089E-2</c:v>
                </c:pt>
                <c:pt idx="3">
                  <c:v>6.201111386138614E-4</c:v>
                </c:pt>
                <c:pt idx="4">
                  <c:v>4.7049504950495051E-3</c:v>
                </c:pt>
                <c:pt idx="5">
                  <c:v>8.1683168316831691E-4</c:v>
                </c:pt>
                <c:pt idx="6">
                  <c:v>3.2178217821782176E-3</c:v>
                </c:pt>
                <c:pt idx="7">
                  <c:v>6.9801980198019803E-3</c:v>
                </c:pt>
                <c:pt idx="8">
                  <c:v>1.9356435643564356E-2</c:v>
                </c:pt>
                <c:pt idx="9">
                  <c:v>2.4752475247524754E-2</c:v>
                </c:pt>
                <c:pt idx="10">
                  <c:v>9.3069306930693065E-3</c:v>
                </c:pt>
                <c:pt idx="11">
                  <c:v>1.707920792079208E-2</c:v>
                </c:pt>
              </c:numCache>
            </c:numRef>
          </c:val>
          <c:extLst xmlns:c16r2="http://schemas.microsoft.com/office/drawing/2015/06/chart">
            <c:ext xmlns:c16="http://schemas.microsoft.com/office/drawing/2014/chart" uri="{C3380CC4-5D6E-409C-BE32-E72D297353CC}">
              <c16:uniqueId val="{00000020-5FD9-4ADA-B98E-CC99ADCFF763}"/>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w="12700">
      <a:solidFill>
        <a:schemeClr val="tx2">
          <a:lumMod val="40000"/>
          <a:lumOff val="60000"/>
        </a:schemeClr>
      </a:solidFill>
    </a:ln>
    <a:effectLst>
      <a:outerShdw blurRad="50800" dist="38100" dir="2700000" algn="tl" rotWithShape="0">
        <a:prstClr val="black">
          <a:alpha val="40000"/>
        </a:prstClr>
      </a:outerShdw>
    </a:effectLst>
    <a:scene3d>
      <a:camera prst="orthographicFront"/>
      <a:lightRig rig="threePt" dir="t"/>
    </a:scene3d>
    <a:sp3d/>
  </c:spPr>
  <c:txPr>
    <a:bodyPr/>
    <a:lstStyle/>
    <a:p>
      <a:pPr>
        <a:defRPr sz="1100"/>
      </a:pPr>
      <a:endParaRPr lang="nl-NL"/>
    </a:p>
  </c:txPr>
  <c:printSettings>
    <c:headerFooter/>
    <c:pageMargins b="0.75" l="0.7" r="0.7"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05995481692662"/>
          <c:y val="0.16236758665745446"/>
          <c:w val="0.56780192839421684"/>
          <c:h val="0.75901247065083433"/>
        </c:manualLayout>
      </c:layout>
      <c:pieChart>
        <c:varyColors val="1"/>
        <c:ser>
          <c:idx val="0"/>
          <c:order val="0"/>
          <c:explosion val="1"/>
          <c:dPt>
            <c:idx val="0"/>
            <c:bubble3D val="0"/>
            <c:spPr>
              <a:solidFill>
                <a:schemeClr val="accent4">
                  <a:lumMod val="75000"/>
                </a:schemeClr>
              </a:solidFill>
            </c:spPr>
            <c:extLst xmlns:c16r2="http://schemas.microsoft.com/office/drawing/2015/06/chart">
              <c:ext xmlns:c16="http://schemas.microsoft.com/office/drawing/2014/chart" uri="{C3380CC4-5D6E-409C-BE32-E72D297353CC}">
                <c16:uniqueId val="{00000001-E4F1-482D-BBEC-4869495657BE}"/>
              </c:ext>
            </c:extLst>
          </c:dPt>
          <c:dPt>
            <c:idx val="1"/>
            <c:bubble3D val="0"/>
            <c:spPr>
              <a:solidFill>
                <a:srgbClr val="C8D7EC"/>
              </a:solidFill>
            </c:spPr>
            <c:extLst xmlns:c16r2="http://schemas.microsoft.com/office/drawing/2015/06/chart">
              <c:ext xmlns:c16="http://schemas.microsoft.com/office/drawing/2014/chart" uri="{C3380CC4-5D6E-409C-BE32-E72D297353CC}">
                <c16:uniqueId val="{00000003-E4F1-482D-BBEC-4869495657BE}"/>
              </c:ext>
            </c:extLst>
          </c:dPt>
          <c:dPt>
            <c:idx val="2"/>
            <c:bubble3D val="0"/>
            <c:spPr>
              <a:solidFill>
                <a:srgbClr val="9AB7DA"/>
              </a:solidFill>
            </c:spPr>
            <c:extLst xmlns:c16r2="http://schemas.microsoft.com/office/drawing/2015/06/chart">
              <c:ext xmlns:c16="http://schemas.microsoft.com/office/drawing/2014/chart" uri="{C3380CC4-5D6E-409C-BE32-E72D297353CC}">
                <c16:uniqueId val="{00000005-E4F1-482D-BBEC-4869495657BE}"/>
              </c:ext>
            </c:extLst>
          </c:dPt>
          <c:dPt>
            <c:idx val="3"/>
            <c:bubble3D val="0"/>
            <c:spPr>
              <a:solidFill>
                <a:srgbClr val="FFFF00"/>
              </a:solidFill>
            </c:spPr>
            <c:extLst xmlns:c16r2="http://schemas.microsoft.com/office/drawing/2015/06/chart">
              <c:ext xmlns:c16="http://schemas.microsoft.com/office/drawing/2014/chart" uri="{C3380CC4-5D6E-409C-BE32-E72D297353CC}">
                <c16:uniqueId val="{00000007-E4F1-482D-BBEC-4869495657BE}"/>
              </c:ext>
            </c:extLst>
          </c:dPt>
          <c:dPt>
            <c:idx val="4"/>
            <c:bubble3D val="0"/>
            <c:spPr>
              <a:solidFill>
                <a:srgbClr val="FFCC00"/>
              </a:solidFill>
            </c:spPr>
            <c:extLst xmlns:c16r2="http://schemas.microsoft.com/office/drawing/2015/06/chart">
              <c:ext xmlns:c16="http://schemas.microsoft.com/office/drawing/2014/chart" uri="{C3380CC4-5D6E-409C-BE32-E72D297353CC}">
                <c16:uniqueId val="{00000009-E4F1-482D-BBEC-4869495657BE}"/>
              </c:ext>
            </c:extLst>
          </c:dPt>
          <c:dPt>
            <c:idx val="5"/>
            <c:bubble3D val="0"/>
            <c:spPr>
              <a:solidFill>
                <a:srgbClr val="FF9900"/>
              </a:solidFill>
            </c:spPr>
            <c:extLst xmlns:c16r2="http://schemas.microsoft.com/office/drawing/2015/06/chart">
              <c:ext xmlns:c16="http://schemas.microsoft.com/office/drawing/2014/chart" uri="{C3380CC4-5D6E-409C-BE32-E72D297353CC}">
                <c16:uniqueId val="{0000000B-E4F1-482D-BBEC-4869495657BE}"/>
              </c:ext>
            </c:extLst>
          </c:dPt>
          <c:dPt>
            <c:idx val="6"/>
            <c:bubble3D val="0"/>
            <c:spPr>
              <a:solidFill>
                <a:srgbClr val="E1AAA9"/>
              </a:solidFill>
            </c:spPr>
            <c:extLst xmlns:c16r2="http://schemas.microsoft.com/office/drawing/2015/06/chart">
              <c:ext xmlns:c16="http://schemas.microsoft.com/office/drawing/2014/chart" uri="{C3380CC4-5D6E-409C-BE32-E72D297353CC}">
                <c16:uniqueId val="{0000000D-E4F1-482D-BBEC-4869495657BE}"/>
              </c:ext>
            </c:extLst>
          </c:dPt>
          <c:dPt>
            <c:idx val="7"/>
            <c:bubble3D val="0"/>
            <c:spPr>
              <a:solidFill>
                <a:srgbClr val="CD7371"/>
              </a:solidFill>
            </c:spPr>
            <c:extLst xmlns:c16r2="http://schemas.microsoft.com/office/drawing/2015/06/chart">
              <c:ext xmlns:c16="http://schemas.microsoft.com/office/drawing/2014/chart" uri="{C3380CC4-5D6E-409C-BE32-E72D297353CC}">
                <c16:uniqueId val="{0000000F-E4F1-482D-BBEC-4869495657BE}"/>
              </c:ext>
            </c:extLst>
          </c:dPt>
          <c:dPt>
            <c:idx val="8"/>
            <c:bubble3D val="0"/>
            <c:spPr>
              <a:solidFill>
                <a:srgbClr val="CDE1AF"/>
              </a:solidFill>
            </c:spPr>
            <c:extLst xmlns:c16r2="http://schemas.microsoft.com/office/drawing/2015/06/chart">
              <c:ext xmlns:c16="http://schemas.microsoft.com/office/drawing/2014/chart" uri="{C3380CC4-5D6E-409C-BE32-E72D297353CC}">
                <c16:uniqueId val="{00000011-E4F1-482D-BBEC-4869495657BE}"/>
              </c:ext>
            </c:extLst>
          </c:dPt>
          <c:dPt>
            <c:idx val="9"/>
            <c:bubble3D val="0"/>
            <c:spPr>
              <a:solidFill>
                <a:srgbClr val="B4CD82"/>
              </a:solidFill>
            </c:spPr>
            <c:extLst xmlns:c16r2="http://schemas.microsoft.com/office/drawing/2015/06/chart">
              <c:ext xmlns:c16="http://schemas.microsoft.com/office/drawing/2014/chart" uri="{C3380CC4-5D6E-409C-BE32-E72D297353CC}">
                <c16:uniqueId val="{00000013-E4F1-482D-BBEC-4869495657BE}"/>
              </c:ext>
            </c:extLst>
          </c:dPt>
          <c:dPt>
            <c:idx val="10"/>
            <c:bubble3D val="0"/>
            <c:spPr>
              <a:solidFill>
                <a:srgbClr val="91B44A"/>
              </a:solidFill>
            </c:spPr>
            <c:extLst xmlns:c16r2="http://schemas.microsoft.com/office/drawing/2015/06/chart">
              <c:ext xmlns:c16="http://schemas.microsoft.com/office/drawing/2014/chart" uri="{C3380CC4-5D6E-409C-BE32-E72D297353CC}">
                <c16:uniqueId val="{00000015-E4F1-482D-BBEC-4869495657BE}"/>
              </c:ext>
            </c:extLst>
          </c:dPt>
          <c:dPt>
            <c:idx val="11"/>
            <c:bubble3D val="0"/>
            <c:spPr>
              <a:solidFill>
                <a:schemeClr val="accent3">
                  <a:lumMod val="75000"/>
                </a:schemeClr>
              </a:solidFill>
            </c:spPr>
            <c:extLst xmlns:c16r2="http://schemas.microsoft.com/office/drawing/2015/06/chart">
              <c:ext xmlns:c16="http://schemas.microsoft.com/office/drawing/2014/chart" uri="{C3380CC4-5D6E-409C-BE32-E72D297353CC}">
                <c16:uniqueId val="{00000017-E4F1-482D-BBEC-4869495657BE}"/>
              </c:ext>
            </c:extLst>
          </c:dPt>
          <c:dPt>
            <c:idx val="12"/>
            <c:bubble3D val="0"/>
            <c:spPr>
              <a:solidFill>
                <a:srgbClr val="B8AF82"/>
              </a:solidFill>
            </c:spPr>
            <c:extLst xmlns:c16r2="http://schemas.microsoft.com/office/drawing/2015/06/chart">
              <c:ext xmlns:c16="http://schemas.microsoft.com/office/drawing/2014/chart" uri="{C3380CC4-5D6E-409C-BE32-E72D297353CC}">
                <c16:uniqueId val="{00000019-E4F1-482D-BBEC-4869495657BE}"/>
              </c:ext>
            </c:extLst>
          </c:dPt>
          <c:dPt>
            <c:idx val="13"/>
            <c:bubble3D val="0"/>
            <c:spPr>
              <a:solidFill>
                <a:srgbClr val="887E4E"/>
              </a:solidFill>
            </c:spPr>
            <c:extLst xmlns:c16r2="http://schemas.microsoft.com/office/drawing/2015/06/chart">
              <c:ext xmlns:c16="http://schemas.microsoft.com/office/drawing/2014/chart" uri="{C3380CC4-5D6E-409C-BE32-E72D297353CC}">
                <c16:uniqueId val="{0000001B-E4F1-482D-BBEC-4869495657BE}"/>
              </c:ext>
            </c:extLst>
          </c:dPt>
          <c:dPt>
            <c:idx val="14"/>
            <c:bubble3D val="0"/>
            <c:spPr>
              <a:solidFill>
                <a:schemeClr val="accent4">
                  <a:lumMod val="40000"/>
                  <a:lumOff val="60000"/>
                </a:schemeClr>
              </a:solidFill>
            </c:spPr>
            <c:extLst xmlns:c16r2="http://schemas.microsoft.com/office/drawing/2015/06/chart">
              <c:ext xmlns:c16="http://schemas.microsoft.com/office/drawing/2014/chart" uri="{C3380CC4-5D6E-409C-BE32-E72D297353CC}">
                <c16:uniqueId val="{0000001D-E4F1-482D-BBEC-4869495657BE}"/>
              </c:ext>
            </c:extLst>
          </c:dPt>
          <c:dPt>
            <c:idx val="15"/>
            <c:bubble3D val="0"/>
            <c:spPr>
              <a:solidFill>
                <a:schemeClr val="accent4">
                  <a:lumMod val="60000"/>
                  <a:lumOff val="40000"/>
                </a:schemeClr>
              </a:solidFill>
            </c:spPr>
            <c:extLst xmlns:c16r2="http://schemas.microsoft.com/office/drawing/2015/06/chart">
              <c:ext xmlns:c16="http://schemas.microsoft.com/office/drawing/2014/chart" uri="{C3380CC4-5D6E-409C-BE32-E72D297353CC}">
                <c16:uniqueId val="{0000001F-E4F1-482D-BBEC-4869495657BE}"/>
              </c:ext>
            </c:extLst>
          </c:dPt>
          <c:dLbls>
            <c:dLbl>
              <c:idx val="0"/>
              <c:layout>
                <c:manualLayout>
                  <c:x val="0.10013569625541306"/>
                  <c:y val="2.6116180607664238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4F1-482D-BBEC-4869495657BE}"/>
                </c:ext>
              </c:extLst>
            </c:dLbl>
            <c:dLbl>
              <c:idx val="3"/>
              <c:layout>
                <c:manualLayout>
                  <c:x val="8.6319894614811224E-2"/>
                  <c:y val="-3.3933720142635383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4F1-482D-BBEC-4869495657BE}"/>
                </c:ext>
              </c:extLst>
            </c:dLbl>
            <c:dLbl>
              <c:idx val="4"/>
              <c:layout>
                <c:manualLayout>
                  <c:x val="7.5924444629310264E-2"/>
                  <c:y val="-1.0320433092248305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4F1-482D-BBEC-4869495657BE}"/>
                </c:ext>
              </c:extLst>
            </c:dLbl>
            <c:dLbl>
              <c:idx val="5"/>
              <c:layout>
                <c:manualLayout>
                  <c:x val="0.10470677259478017"/>
                  <c:y val="-2.3623850502058622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4F1-482D-BBEC-4869495657BE}"/>
                </c:ext>
              </c:extLst>
            </c:dLbl>
            <c:dLbl>
              <c:idx val="6"/>
              <c:layout>
                <c:manualLayout>
                  <c:x val="7.9651819452932274E-2"/>
                  <c:y val="5.1732687290316874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4F1-482D-BBEC-4869495657BE}"/>
                </c:ext>
              </c:extLst>
            </c:dLbl>
            <c:dLbl>
              <c:idx val="7"/>
              <c:layout>
                <c:manualLayout>
                  <c:x val="-1.3987165850999199E-2"/>
                  <c:y val="0.11595219690825874"/>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4F1-482D-BBEC-4869495657BE}"/>
                </c:ext>
              </c:extLst>
            </c:dLbl>
            <c:dLbl>
              <c:idx val="8"/>
              <c:layout>
                <c:manualLayout>
                  <c:x val="-8.969367652616006E-2"/>
                  <c:y val="-0.1527972968513598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4F1-482D-BBEC-4869495657BE}"/>
                </c:ext>
              </c:extLst>
            </c:dLbl>
            <c:dLbl>
              <c:idx val="9"/>
              <c:layout>
                <c:manualLayout>
                  <c:x val="0.19478237131087839"/>
                  <c:y val="1.1673120609974674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4F1-482D-BBEC-4869495657BE}"/>
                </c:ext>
              </c:extLst>
            </c:dLbl>
            <c:dLbl>
              <c:idx val="10"/>
              <c:layout>
                <c:manualLayout>
                  <c:x val="6.0847063522995119E-2"/>
                  <c:y val="3.6350500142257526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4F1-482D-BBEC-4869495657BE}"/>
                </c:ext>
              </c:extLst>
            </c:dLbl>
            <c:dLbl>
              <c:idx val="11"/>
              <c:layout>
                <c:manualLayout>
                  <c:x val="-6.5332486217781413E-2"/>
                  <c:y val="-4.165304449119224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4F1-482D-BBEC-4869495657BE}"/>
                </c:ext>
              </c:extLst>
            </c:dLbl>
            <c:dLbl>
              <c:idx val="12"/>
              <c:layout>
                <c:manualLayout>
                  <c:x val="-8.6614273557268931E-2"/>
                  <c:y val="-0.1678470773580836"/>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4F1-482D-BBEC-4869495657BE}"/>
                </c:ext>
              </c:extLst>
            </c:dLbl>
            <c:dLbl>
              <c:idx val="13"/>
              <c:layout>
                <c:manualLayout>
                  <c:x val="-8.16914837151962E-3"/>
                  <c:y val="-0.12281526650993631"/>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4F1-482D-BBEC-4869495657BE}"/>
                </c:ext>
              </c:extLst>
            </c:dLbl>
            <c:dLbl>
              <c:idx val="14"/>
              <c:layout>
                <c:manualLayout>
                  <c:x val="-4.5593634639944154E-2"/>
                  <c:y val="-3.8707188399854181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4F1-482D-BBEC-4869495657BE}"/>
                </c:ext>
              </c:extLst>
            </c:dLbl>
            <c:dLbl>
              <c:idx val="15"/>
              <c:layout>
                <c:manualLayout>
                  <c:x val="-3.4924698945531813E-3"/>
                  <c:y val="0"/>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4F1-482D-BBEC-4869495657BE}"/>
                </c:ext>
              </c:extLst>
            </c:dLbl>
            <c:numFmt formatCode="0.0%" sourceLinked="0"/>
            <c:spPr>
              <a:noFill/>
              <a:ln>
                <a:noFill/>
              </a:ln>
              <a:effectLst/>
            </c:spPr>
            <c:txPr>
              <a:bodyPr/>
              <a:lstStyle/>
              <a:p>
                <a:pPr>
                  <a:defRPr sz="1050"/>
                </a:pPr>
                <a:endParaRPr lang="nl-NL"/>
              </a:p>
            </c:txPr>
            <c:dLblPos val="bestFit"/>
            <c:showLegendKey val="0"/>
            <c:showVal val="0"/>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Resultaatgrafiek!$A$50:$A$65</c:f>
              <c:strCache>
                <c:ptCount val="16"/>
                <c:pt idx="0">
                  <c:v>Waterkracht</c:v>
                </c:pt>
                <c:pt idx="1">
                  <c:v>Wind op Land</c:v>
                </c:pt>
                <c:pt idx="2">
                  <c:v>Wind op Zee</c:v>
                </c:pt>
                <c:pt idx="3">
                  <c:v>Zon PV (groot)</c:v>
                </c:pt>
                <c:pt idx="4">
                  <c:v>Zon PV (klein)</c:v>
                </c:pt>
                <c:pt idx="5">
                  <c:v>Zon thermisch</c:v>
                </c:pt>
                <c:pt idx="6">
                  <c:v>Geothermie</c:v>
                </c:pt>
                <c:pt idx="7">
                  <c:v>WKO + warmtepompen</c:v>
                </c:pt>
                <c:pt idx="8">
                  <c:v>Biomassa - tbv elektriciteit</c:v>
                </c:pt>
                <c:pt idx="9">
                  <c:v>Biomassa - tbv warmte</c:v>
                </c:pt>
                <c:pt idx="10">
                  <c:v>Houtkachels bij particulieren</c:v>
                </c:pt>
                <c:pt idx="11">
                  <c:v>Biobrandstof bijmengen - tbv vervoer</c:v>
                </c:pt>
                <c:pt idx="12">
                  <c:v>Schone voertuigen (inc fiscale maatregelen zuinige auto's algemeen tm 2014)</c:v>
                </c:pt>
                <c:pt idx="13">
                  <c:v>Energienetwerk uitbreiden (incl. stopcontact op zee, energieopslag, netverzwaring, vervroegd afschrijven fossiele centrales)</c:v>
                </c:pt>
                <c:pt idx="14">
                  <c:v>Energiebesparing</c:v>
                </c:pt>
                <c:pt idx="15">
                  <c:v>Overig i.e. CCS, emissiehandel en innovatie</c:v>
                </c:pt>
              </c:strCache>
            </c:strRef>
          </c:cat>
          <c:val>
            <c:numRef>
              <c:f>Resultaatgrafiek!$C$50:$C$65</c:f>
              <c:numCache>
                <c:formatCode>"€"\ #,##0</c:formatCode>
                <c:ptCount val="16"/>
                <c:pt idx="0">
                  <c:v>147</c:v>
                </c:pt>
                <c:pt idx="1">
                  <c:v>11672.735999999999</c:v>
                </c:pt>
                <c:pt idx="2">
                  <c:v>12032.388999999999</c:v>
                </c:pt>
                <c:pt idx="3">
                  <c:v>784.85</c:v>
                </c:pt>
                <c:pt idx="4">
                  <c:v>7902.1259315963698</c:v>
                </c:pt>
                <c:pt idx="5">
                  <c:v>151.25000000000003</c:v>
                </c:pt>
                <c:pt idx="6">
                  <c:v>1031.25</c:v>
                </c:pt>
                <c:pt idx="7">
                  <c:v>333.33333333333337</c:v>
                </c:pt>
                <c:pt idx="8">
                  <c:v>18203.644444444442</c:v>
                </c:pt>
                <c:pt idx="9">
                  <c:v>4601.9049999999997</c:v>
                </c:pt>
                <c:pt idx="10">
                  <c:v>0</c:v>
                </c:pt>
                <c:pt idx="11">
                  <c:v>6242.7425557466513</c:v>
                </c:pt>
                <c:pt idx="12">
                  <c:v>7571.68</c:v>
                </c:pt>
                <c:pt idx="13">
                  <c:v>19153.109581249999</c:v>
                </c:pt>
                <c:pt idx="14">
                  <c:v>15567.967414601571</c:v>
                </c:pt>
                <c:pt idx="15">
                  <c:v>1833.9179999999978</c:v>
                </c:pt>
              </c:numCache>
            </c:numRef>
          </c:val>
          <c:extLst xmlns:c16r2="http://schemas.microsoft.com/office/drawing/2015/06/chart">
            <c:ext xmlns:c16="http://schemas.microsoft.com/office/drawing/2014/chart" uri="{C3380CC4-5D6E-409C-BE32-E72D297353CC}">
              <c16:uniqueId val="{00000020-E4F1-482D-BBEC-4869495657BE}"/>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w="12700">
      <a:solidFill>
        <a:schemeClr val="tx2">
          <a:lumMod val="40000"/>
          <a:lumOff val="60000"/>
        </a:schemeClr>
      </a:solidFill>
    </a:ln>
    <a:effectLst>
      <a:outerShdw blurRad="50800" dist="38100" dir="2700000" algn="tl" rotWithShape="0">
        <a:prstClr val="black">
          <a:alpha val="40000"/>
        </a:prstClr>
      </a:outerShdw>
    </a:effectLst>
    <a:scene3d>
      <a:camera prst="orthographicFront"/>
      <a:lightRig rig="threePt" dir="t"/>
    </a:scene3d>
    <a:sp3d/>
  </c:spPr>
  <c:txPr>
    <a:bodyPr/>
    <a:lstStyle/>
    <a:p>
      <a:pPr>
        <a:defRPr sz="1100"/>
      </a:pPr>
      <a:endParaRPr lang="nl-NL"/>
    </a:p>
  </c:txPr>
  <c:printSettings>
    <c:headerFooter/>
    <c:pageMargins b="0.75" l="0.7" r="0.7"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solidFill>
                  <a:schemeClr val="accent3">
                    <a:lumMod val="75000"/>
                  </a:schemeClr>
                </a:solidFill>
                <a:latin typeface="Arial" panose="020B0604020202020204" pitchFamily="34" charset="0"/>
                <a:cs typeface="Arial" panose="020B0604020202020204" pitchFamily="34" charset="0"/>
              </a:defRPr>
            </a:pPr>
            <a:r>
              <a:rPr lang="nl-NL" sz="1800">
                <a:solidFill>
                  <a:schemeClr val="accent3">
                    <a:lumMod val="75000"/>
                  </a:schemeClr>
                </a:solidFill>
                <a:latin typeface="Arial" panose="020B0604020202020204" pitchFamily="34" charset="0"/>
                <a:cs typeface="Arial" panose="020B0604020202020204" pitchFamily="34" charset="0"/>
              </a:rPr>
              <a:t>Uitgaven </a:t>
            </a:r>
            <a:r>
              <a:rPr lang="nl-NL" sz="1800" baseline="0">
                <a:solidFill>
                  <a:schemeClr val="accent3">
                    <a:lumMod val="75000"/>
                  </a:schemeClr>
                </a:solidFill>
                <a:latin typeface="Arial" panose="020B0604020202020204" pitchFamily="34" charset="0"/>
                <a:cs typeface="Arial" panose="020B0604020202020204" pitchFamily="34" charset="0"/>
              </a:rPr>
              <a:t>EnergieAkkoord maatregelen (bovenop reguliere energieuitgaven)</a:t>
            </a:r>
            <a:endParaRPr lang="nl-NL" sz="1800">
              <a:solidFill>
                <a:schemeClr val="accent3">
                  <a:lumMod val="75000"/>
                </a:schemeClr>
              </a:solidFill>
              <a:latin typeface="Arial" panose="020B0604020202020204" pitchFamily="34" charset="0"/>
              <a:cs typeface="Arial" panose="020B0604020202020204" pitchFamily="34" charset="0"/>
            </a:endParaRPr>
          </a:p>
        </c:rich>
      </c:tx>
      <c:layout/>
      <c:overlay val="0"/>
      <c:spPr>
        <a:noFill/>
      </c:spPr>
    </c:title>
    <c:autoTitleDeleted val="0"/>
    <c:plotArea>
      <c:layout>
        <c:manualLayout>
          <c:layoutTarget val="inner"/>
          <c:xMode val="edge"/>
          <c:yMode val="edge"/>
          <c:x val="7.8788370627850046E-2"/>
          <c:y val="8.9960907708818455E-2"/>
          <c:w val="0.64298540876294397"/>
          <c:h val="0.82872841171096712"/>
        </c:manualLayout>
      </c:layout>
      <c:barChart>
        <c:barDir val="col"/>
        <c:grouping val="stacked"/>
        <c:varyColors val="0"/>
        <c:ser>
          <c:idx val="15"/>
          <c:order val="0"/>
          <c:tx>
            <c:strRef>
              <c:f>Resultaatgrafiek!$F$122</c:f>
              <c:strCache>
                <c:ptCount val="1"/>
                <c:pt idx="0">
                  <c:v>Waterkracht</c:v>
                </c:pt>
              </c:strCache>
            </c:strRef>
          </c:tx>
          <c:spPr>
            <a:solidFill>
              <a:srgbClr val="7030A0"/>
            </a:solidFill>
          </c:spPr>
          <c:invertIfNegative val="0"/>
          <c:cat>
            <c:numRef>
              <c:f>Resultaatgrafiek!$A$124:$A$158</c:f>
              <c:numCache>
                <c:formatCode>General</c:formatCode>
                <c:ptCount val="3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numCache>
            </c:numRef>
          </c:cat>
          <c:val>
            <c:numRef>
              <c:f>Resultaatgrafiek!$F$124:$F$158</c:f>
              <c:numCache>
                <c:formatCode>_ * #,##0_ ;_ * \-#,##0_ ;_ * "-"??_ ;_ @_ </c:formatCode>
                <c:ptCount val="35"/>
                <c:pt idx="0">
                  <c:v>3.7935483870967741</c:v>
                </c:pt>
                <c:pt idx="1">
                  <c:v>4.2677419354838708</c:v>
                </c:pt>
                <c:pt idx="2">
                  <c:v>4.2677419354838708</c:v>
                </c:pt>
                <c:pt idx="3">
                  <c:v>4.2677419354838708</c:v>
                </c:pt>
                <c:pt idx="4">
                  <c:v>4.8452148387096772</c:v>
                </c:pt>
                <c:pt idx="5">
                  <c:v>5.4824835483870977</c:v>
                </c:pt>
                <c:pt idx="6">
                  <c:v>6.9050641935483874</c:v>
                </c:pt>
                <c:pt idx="7">
                  <c:v>7.142160967741936</c:v>
                </c:pt>
                <c:pt idx="8">
                  <c:v>7.3792577419354846</c:v>
                </c:pt>
                <c:pt idx="9">
                  <c:v>7.3792577419354846</c:v>
                </c:pt>
                <c:pt idx="10">
                  <c:v>6.4308706451612911</c:v>
                </c:pt>
                <c:pt idx="11">
                  <c:v>5.1979674193548391</c:v>
                </c:pt>
                <c:pt idx="12">
                  <c:v>5.6721609677419362</c:v>
                </c:pt>
                <c:pt idx="13">
                  <c:v>8.3276448387096789</c:v>
                </c:pt>
                <c:pt idx="14">
                  <c:v>7.513075161290323</c:v>
                </c:pt>
                <c:pt idx="15">
                  <c:v>6.6387096774193548</c:v>
                </c:pt>
                <c:pt idx="16">
                  <c:v>6.6387096774193548</c:v>
                </c:pt>
                <c:pt idx="17">
                  <c:v>6.2593548387096778</c:v>
                </c:pt>
                <c:pt idx="18">
                  <c:v>4.741935483870968</c:v>
                </c:pt>
                <c:pt idx="19">
                  <c:v>4.741935483870968</c:v>
                </c:pt>
                <c:pt idx="20">
                  <c:v>4.5048387096774194</c:v>
                </c:pt>
                <c:pt idx="21">
                  <c:v>4.2677419354838708</c:v>
                </c:pt>
                <c:pt idx="22">
                  <c:v>4.0306451612903222</c:v>
                </c:pt>
                <c:pt idx="23">
                  <c:v>3.7935483870967741</c:v>
                </c:pt>
                <c:pt idx="24">
                  <c:v>3.556451612903226</c:v>
                </c:pt>
                <c:pt idx="25">
                  <c:v>3.3193548387096774</c:v>
                </c:pt>
                <c:pt idx="26">
                  <c:v>2.8451612903225807</c:v>
                </c:pt>
                <c:pt idx="27">
                  <c:v>1.8967741935483871</c:v>
                </c:pt>
                <c:pt idx="28">
                  <c:v>0.89148387096774195</c:v>
                </c:pt>
                <c:pt idx="29">
                  <c:v>0</c:v>
                </c:pt>
                <c:pt idx="30">
                  <c:v>0</c:v>
                </c:pt>
                <c:pt idx="31">
                  <c:v>0</c:v>
                </c:pt>
                <c:pt idx="32">
                  <c:v>0</c:v>
                </c:pt>
                <c:pt idx="33">
                  <c:v>0</c:v>
                </c:pt>
                <c:pt idx="34">
                  <c:v>0</c:v>
                </c:pt>
              </c:numCache>
            </c:numRef>
          </c:val>
          <c:extLst xmlns:c16r2="http://schemas.microsoft.com/office/drawing/2015/06/chart">
            <c:ext xmlns:c16="http://schemas.microsoft.com/office/drawing/2014/chart" uri="{C3380CC4-5D6E-409C-BE32-E72D297353CC}">
              <c16:uniqueId val="{00000000-4C52-4595-9F26-153DE9EB1476}"/>
            </c:ext>
          </c:extLst>
        </c:ser>
        <c:ser>
          <c:idx val="14"/>
          <c:order val="1"/>
          <c:tx>
            <c:strRef>
              <c:f>Resultaatgrafiek!$G$122</c:f>
              <c:strCache>
                <c:ptCount val="1"/>
                <c:pt idx="0">
                  <c:v>Wind op Land</c:v>
                </c:pt>
              </c:strCache>
            </c:strRef>
          </c:tx>
          <c:spPr>
            <a:solidFill>
              <a:schemeClr val="tx2">
                <a:lumMod val="20000"/>
                <a:lumOff val="80000"/>
              </a:schemeClr>
            </a:solidFill>
          </c:spPr>
          <c:invertIfNegative val="0"/>
          <c:cat>
            <c:numRef>
              <c:f>Resultaatgrafiek!$A$124:$A$158</c:f>
              <c:numCache>
                <c:formatCode>General</c:formatCode>
                <c:ptCount val="3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numCache>
            </c:numRef>
          </c:cat>
          <c:val>
            <c:numRef>
              <c:f>Resultaatgrafiek!$G$124:$G$158</c:f>
              <c:numCache>
                <c:formatCode>_ * #,##0_ ;_ * \-#,##0_ ;_ * "-"??_ ;_ @_ </c:formatCode>
                <c:ptCount val="35"/>
                <c:pt idx="0">
                  <c:v>104.35354838709678</c:v>
                </c:pt>
                <c:pt idx="1">
                  <c:v>117.39774193548386</c:v>
                </c:pt>
                <c:pt idx="2">
                  <c:v>117.39774193548386</c:v>
                </c:pt>
                <c:pt idx="3">
                  <c:v>117.39774193548386</c:v>
                </c:pt>
                <c:pt idx="4">
                  <c:v>133.28296083870967</c:v>
                </c:pt>
                <c:pt idx="5">
                  <c:v>150.81305254838708</c:v>
                </c:pt>
                <c:pt idx="6">
                  <c:v>189.94563319354839</c:v>
                </c:pt>
                <c:pt idx="7">
                  <c:v>196.46772996774192</c:v>
                </c:pt>
                <c:pt idx="8">
                  <c:v>202.98982674193547</c:v>
                </c:pt>
                <c:pt idx="9">
                  <c:v>202.98982674193547</c:v>
                </c:pt>
                <c:pt idx="10">
                  <c:v>218.78943964516128</c:v>
                </c:pt>
                <c:pt idx="11">
                  <c:v>207.27933641935482</c:v>
                </c:pt>
                <c:pt idx="12">
                  <c:v>287.49592996774197</c:v>
                </c:pt>
                <c:pt idx="13">
                  <c:v>463.62221383870974</c:v>
                </c:pt>
                <c:pt idx="14">
                  <c:v>509.72949816129034</c:v>
                </c:pt>
                <c:pt idx="15">
                  <c:v>554.1919096774194</c:v>
                </c:pt>
                <c:pt idx="16">
                  <c:v>622.70650967741938</c:v>
                </c:pt>
                <c:pt idx="17">
                  <c:v>680.78575483870975</c:v>
                </c:pt>
                <c:pt idx="18">
                  <c:v>639.04433548387101</c:v>
                </c:pt>
                <c:pt idx="19">
                  <c:v>639.04433548387101</c:v>
                </c:pt>
                <c:pt idx="20">
                  <c:v>632.52223870967748</c:v>
                </c:pt>
                <c:pt idx="21">
                  <c:v>626.00014193548395</c:v>
                </c:pt>
                <c:pt idx="22">
                  <c:v>619.47804516129042</c:v>
                </c:pt>
                <c:pt idx="23">
                  <c:v>612.9559483870969</c:v>
                </c:pt>
                <c:pt idx="24">
                  <c:v>606.43385161290337</c:v>
                </c:pt>
                <c:pt idx="25">
                  <c:v>558.02375483870969</c:v>
                </c:pt>
                <c:pt idx="26">
                  <c:v>522.57476129032261</c:v>
                </c:pt>
                <c:pt idx="27">
                  <c:v>429.31397419354846</c:v>
                </c:pt>
                <c:pt idx="28">
                  <c:v>298.58148387096782</c:v>
                </c:pt>
                <c:pt idx="29">
                  <c:v>205.54380000000003</c:v>
                </c:pt>
                <c:pt idx="30">
                  <c:v>137.02920000000003</c:v>
                </c:pt>
                <c:pt idx="31">
                  <c:v>68.514600000000016</c:v>
                </c:pt>
                <c:pt idx="32">
                  <c:v>0</c:v>
                </c:pt>
                <c:pt idx="33">
                  <c:v>0</c:v>
                </c:pt>
                <c:pt idx="34">
                  <c:v>0</c:v>
                </c:pt>
              </c:numCache>
            </c:numRef>
          </c:val>
          <c:extLst xmlns:c16r2="http://schemas.microsoft.com/office/drawing/2015/06/chart">
            <c:ext xmlns:c16="http://schemas.microsoft.com/office/drawing/2014/chart" uri="{C3380CC4-5D6E-409C-BE32-E72D297353CC}">
              <c16:uniqueId val="{00000001-4C52-4595-9F26-153DE9EB1476}"/>
            </c:ext>
          </c:extLst>
        </c:ser>
        <c:ser>
          <c:idx val="13"/>
          <c:order val="2"/>
          <c:tx>
            <c:strRef>
              <c:f>Resultaatgrafiek!$H$122</c:f>
              <c:strCache>
                <c:ptCount val="1"/>
                <c:pt idx="0">
                  <c:v>Wind op Zee</c:v>
                </c:pt>
              </c:strCache>
            </c:strRef>
          </c:tx>
          <c:spPr>
            <a:solidFill>
              <a:srgbClr val="95B3D7"/>
            </a:solidFill>
          </c:spPr>
          <c:invertIfNegative val="0"/>
          <c:cat>
            <c:numRef>
              <c:f>Resultaatgrafiek!$A$124:$A$158</c:f>
              <c:numCache>
                <c:formatCode>General</c:formatCode>
                <c:ptCount val="3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numCache>
            </c:numRef>
          </c:cat>
          <c:val>
            <c:numRef>
              <c:f>Resultaatgrafiek!$H$124:$H$158</c:f>
              <c:numCache>
                <c:formatCode>_ * #,##0_ ;_ * \-#,##0_ ;_ * "-"??_ ;_ @_ </c:formatCode>
                <c:ptCount val="35"/>
                <c:pt idx="0">
                  <c:v>20.150967741935482</c:v>
                </c:pt>
                <c:pt idx="1">
                  <c:v>22.669838709677414</c:v>
                </c:pt>
                <c:pt idx="2">
                  <c:v>22.669838709677414</c:v>
                </c:pt>
                <c:pt idx="3">
                  <c:v>22.669838709677414</c:v>
                </c:pt>
                <c:pt idx="4">
                  <c:v>25.737319774193548</c:v>
                </c:pt>
                <c:pt idx="5">
                  <c:v>29.122430467741935</c:v>
                </c:pt>
                <c:pt idx="6">
                  <c:v>36.67904337096774</c:v>
                </c:pt>
                <c:pt idx="7">
                  <c:v>37.938478854838706</c:v>
                </c:pt>
                <c:pt idx="8">
                  <c:v>39.197914338709673</c:v>
                </c:pt>
                <c:pt idx="9">
                  <c:v>39.197914338709673</c:v>
                </c:pt>
                <c:pt idx="10">
                  <c:v>34.160172403225801</c:v>
                </c:pt>
                <c:pt idx="11">
                  <c:v>27.611107887096775</c:v>
                </c:pt>
                <c:pt idx="12">
                  <c:v>76.773978854838703</c:v>
                </c:pt>
                <c:pt idx="13">
                  <c:v>90.879656274193536</c:v>
                </c:pt>
                <c:pt idx="14">
                  <c:v>416.49273972580653</c:v>
                </c:pt>
                <c:pt idx="15">
                  <c:v>411.84819354838714</c:v>
                </c:pt>
                <c:pt idx="16">
                  <c:v>411.84819354838714</c:v>
                </c:pt>
                <c:pt idx="17">
                  <c:v>602.14209677419353</c:v>
                </c:pt>
                <c:pt idx="18">
                  <c:v>654.4849096774193</c:v>
                </c:pt>
                <c:pt idx="19">
                  <c:v>714.88810967741938</c:v>
                </c:pt>
                <c:pt idx="20">
                  <c:v>774.03187419354845</c:v>
                </c:pt>
                <c:pt idx="21">
                  <c:v>772.77243870967743</c:v>
                </c:pt>
                <c:pt idx="22">
                  <c:v>771.51300322580653</c:v>
                </c:pt>
                <c:pt idx="23">
                  <c:v>770.25356774193551</c:v>
                </c:pt>
                <c:pt idx="24">
                  <c:v>768.99413225806461</c:v>
                </c:pt>
                <c:pt idx="25">
                  <c:v>767.73469677419359</c:v>
                </c:pt>
                <c:pt idx="26">
                  <c:v>765.21582580645168</c:v>
                </c:pt>
                <c:pt idx="27">
                  <c:v>713.53408387096783</c:v>
                </c:pt>
                <c:pt idx="28">
                  <c:v>708.19407741935493</c:v>
                </c:pt>
                <c:pt idx="29">
                  <c:v>373.51859999999999</c:v>
                </c:pt>
                <c:pt idx="30">
                  <c:v>373.51859999999999</c:v>
                </c:pt>
                <c:pt idx="31">
                  <c:v>373.51859999999999</c:v>
                </c:pt>
                <c:pt idx="32">
                  <c:v>181.20959999999999</c:v>
                </c:pt>
                <c:pt idx="33">
                  <c:v>120.80640000000001</c:v>
                </c:pt>
                <c:pt idx="34">
                  <c:v>60.403200000000005</c:v>
                </c:pt>
              </c:numCache>
            </c:numRef>
          </c:val>
          <c:extLst xmlns:c16r2="http://schemas.microsoft.com/office/drawing/2015/06/chart">
            <c:ext xmlns:c16="http://schemas.microsoft.com/office/drawing/2014/chart" uri="{C3380CC4-5D6E-409C-BE32-E72D297353CC}">
              <c16:uniqueId val="{00000002-4C52-4595-9F26-153DE9EB1476}"/>
            </c:ext>
          </c:extLst>
        </c:ser>
        <c:ser>
          <c:idx val="12"/>
          <c:order val="3"/>
          <c:tx>
            <c:strRef>
              <c:f>Resultaatgrafiek!$I$122</c:f>
              <c:strCache>
                <c:ptCount val="1"/>
                <c:pt idx="0">
                  <c:v>Zon-PV - groot</c:v>
                </c:pt>
              </c:strCache>
            </c:strRef>
          </c:tx>
          <c:spPr>
            <a:solidFill>
              <a:srgbClr val="FFFF00"/>
            </a:solidFill>
          </c:spPr>
          <c:invertIfNegative val="0"/>
          <c:cat>
            <c:numRef>
              <c:f>Resultaatgrafiek!$A$124:$A$158</c:f>
              <c:numCache>
                <c:formatCode>General</c:formatCode>
                <c:ptCount val="3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numCache>
            </c:numRef>
          </c:cat>
          <c:val>
            <c:numRef>
              <c:f>Resultaatgrafiek!$I$124:$I$158</c:f>
              <c:numCache>
                <c:formatCode>_ * #,##0_ ;_ * \-#,##0_ ;_ * "-"??_ ;_ @_ </c:formatCode>
                <c:ptCount val="35"/>
                <c:pt idx="0">
                  <c:v>6.5290322580645164</c:v>
                </c:pt>
                <c:pt idx="1">
                  <c:v>7.3451612903225802</c:v>
                </c:pt>
                <c:pt idx="2">
                  <c:v>7.3451612903225802</c:v>
                </c:pt>
                <c:pt idx="3">
                  <c:v>7.3451612903225802</c:v>
                </c:pt>
                <c:pt idx="4">
                  <c:v>8.3390432258064511</c:v>
                </c:pt>
                <c:pt idx="5">
                  <c:v>9.4358390322580643</c:v>
                </c:pt>
                <c:pt idx="6">
                  <c:v>11.884226129032259</c:v>
                </c:pt>
                <c:pt idx="7">
                  <c:v>12.292290645161291</c:v>
                </c:pt>
                <c:pt idx="8">
                  <c:v>12.700355161290323</c:v>
                </c:pt>
                <c:pt idx="9">
                  <c:v>12.700355161290323</c:v>
                </c:pt>
                <c:pt idx="10">
                  <c:v>11.068097096774194</c:v>
                </c:pt>
                <c:pt idx="11">
                  <c:v>12.846161612903227</c:v>
                </c:pt>
                <c:pt idx="12">
                  <c:v>21.862290645161288</c:v>
                </c:pt>
                <c:pt idx="13">
                  <c:v>31.12261322580645</c:v>
                </c:pt>
                <c:pt idx="14">
                  <c:v>34.410666774193551</c:v>
                </c:pt>
                <c:pt idx="15">
                  <c:v>37.595806451612901</c:v>
                </c:pt>
                <c:pt idx="16">
                  <c:v>42.285806451612899</c:v>
                </c:pt>
                <c:pt idx="17">
                  <c:v>46.322903225806449</c:v>
                </c:pt>
                <c:pt idx="18">
                  <c:v>43.711290322580645</c:v>
                </c:pt>
                <c:pt idx="19">
                  <c:v>43.711290322580645</c:v>
                </c:pt>
                <c:pt idx="20">
                  <c:v>43.303225806451607</c:v>
                </c:pt>
                <c:pt idx="21">
                  <c:v>42.895161290322577</c:v>
                </c:pt>
                <c:pt idx="22">
                  <c:v>42.487096774193546</c:v>
                </c:pt>
                <c:pt idx="23">
                  <c:v>42.079032258064515</c:v>
                </c:pt>
                <c:pt idx="24">
                  <c:v>41.670967741935485</c:v>
                </c:pt>
                <c:pt idx="25">
                  <c:v>39.862903225806448</c:v>
                </c:pt>
                <c:pt idx="26">
                  <c:v>36.546774193548387</c:v>
                </c:pt>
                <c:pt idx="27">
                  <c:v>26.714516129032258</c:v>
                </c:pt>
                <c:pt idx="28">
                  <c:v>20.294322580645161</c:v>
                </c:pt>
                <c:pt idx="29">
                  <c:v>14.07</c:v>
                </c:pt>
                <c:pt idx="30">
                  <c:v>9.3800000000000008</c:v>
                </c:pt>
                <c:pt idx="31">
                  <c:v>4.6900000000000004</c:v>
                </c:pt>
                <c:pt idx="32">
                  <c:v>0</c:v>
                </c:pt>
                <c:pt idx="33">
                  <c:v>0</c:v>
                </c:pt>
                <c:pt idx="34">
                  <c:v>0</c:v>
                </c:pt>
              </c:numCache>
            </c:numRef>
          </c:val>
          <c:extLst xmlns:c16r2="http://schemas.microsoft.com/office/drawing/2015/06/chart">
            <c:ext xmlns:c16="http://schemas.microsoft.com/office/drawing/2014/chart" uri="{C3380CC4-5D6E-409C-BE32-E72D297353CC}">
              <c16:uniqueId val="{00000003-4C52-4595-9F26-153DE9EB1476}"/>
            </c:ext>
          </c:extLst>
        </c:ser>
        <c:ser>
          <c:idx val="11"/>
          <c:order val="4"/>
          <c:tx>
            <c:strRef>
              <c:f>Resultaatgrafiek!$J$122</c:f>
              <c:strCache>
                <c:ptCount val="1"/>
                <c:pt idx="0">
                  <c:v>Zon-PV - klein</c:v>
                </c:pt>
              </c:strCache>
            </c:strRef>
          </c:tx>
          <c:spPr>
            <a:solidFill>
              <a:srgbClr val="FFCB25"/>
            </a:solidFill>
          </c:spPr>
          <c:invertIfNegative val="0"/>
          <c:cat>
            <c:numRef>
              <c:f>Resultaatgrafiek!$A$124:$A$158</c:f>
              <c:numCache>
                <c:formatCode>General</c:formatCode>
                <c:ptCount val="3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numCache>
            </c:numRef>
          </c:cat>
          <c:val>
            <c:numRef>
              <c:f>Resultaatgrafiek!$J$124:$J$158</c:f>
              <c:numCache>
                <c:formatCode>_ * #,##0_ ;_ * \-#,##0_ ;_ * "-"??_ ;_ @_ </c:formatCode>
                <c:ptCount val="35"/>
                <c:pt idx="0">
                  <c:v>3.3333333333333339</c:v>
                </c:pt>
                <c:pt idx="1">
                  <c:v>3.3333333333333339</c:v>
                </c:pt>
                <c:pt idx="2">
                  <c:v>3.3333333333333339</c:v>
                </c:pt>
                <c:pt idx="3">
                  <c:v>3.3472222222222223</c:v>
                </c:pt>
                <c:pt idx="4">
                  <c:v>3.3777777777777782</c:v>
                </c:pt>
                <c:pt idx="5">
                  <c:v>3.4777777777777787</c:v>
                </c:pt>
                <c:pt idx="6">
                  <c:v>4.4027777777777777</c:v>
                </c:pt>
                <c:pt idx="7">
                  <c:v>8.9666666666666686</c:v>
                </c:pt>
                <c:pt idx="8">
                  <c:v>18.011111111111113</c:v>
                </c:pt>
                <c:pt idx="9">
                  <c:v>59.222222222222229</c:v>
                </c:pt>
                <c:pt idx="10">
                  <c:v>73.684407382550347</c:v>
                </c:pt>
                <c:pt idx="11">
                  <c:v>120.53457776717556</c:v>
                </c:pt>
                <c:pt idx="12">
                  <c:v>168.3103683168317</c:v>
                </c:pt>
                <c:pt idx="13">
                  <c:v>199.21286653465347</c:v>
                </c:pt>
                <c:pt idx="14">
                  <c:v>249.86251247524751</c:v>
                </c:pt>
                <c:pt idx="15">
                  <c:v>297.14376237623759</c:v>
                </c:pt>
                <c:pt idx="16">
                  <c:v>346.57188118811882</c:v>
                </c:pt>
                <c:pt idx="17">
                  <c:v>395.99999999999989</c:v>
                </c:pt>
                <c:pt idx="18">
                  <c:v>395.99999999999989</c:v>
                </c:pt>
                <c:pt idx="19">
                  <c:v>395.99999999999989</c:v>
                </c:pt>
                <c:pt idx="20">
                  <c:v>395.99999999999989</c:v>
                </c:pt>
                <c:pt idx="21">
                  <c:v>395.99999999999989</c:v>
                </c:pt>
                <c:pt idx="22">
                  <c:v>395.99999999999989</c:v>
                </c:pt>
                <c:pt idx="23">
                  <c:v>395.99999999999989</c:v>
                </c:pt>
                <c:pt idx="24">
                  <c:v>395.99999999999989</c:v>
                </c:pt>
                <c:pt idx="25">
                  <c:v>395.99999999999989</c:v>
                </c:pt>
                <c:pt idx="26">
                  <c:v>395.99999999999989</c:v>
                </c:pt>
                <c:pt idx="27">
                  <c:v>395.99999999999989</c:v>
                </c:pt>
                <c:pt idx="28">
                  <c:v>395.99999999999989</c:v>
                </c:pt>
                <c:pt idx="29">
                  <c:v>395.99999999999989</c:v>
                </c:pt>
                <c:pt idx="30">
                  <c:v>395.99999999999989</c:v>
                </c:pt>
                <c:pt idx="31">
                  <c:v>395.99999999999989</c:v>
                </c:pt>
                <c:pt idx="32">
                  <c:v>395.99999999999989</c:v>
                </c:pt>
                <c:pt idx="33">
                  <c:v>0</c:v>
                </c:pt>
                <c:pt idx="34">
                  <c:v>0</c:v>
                </c:pt>
              </c:numCache>
            </c:numRef>
          </c:val>
          <c:extLst xmlns:c16r2="http://schemas.microsoft.com/office/drawing/2015/06/chart">
            <c:ext xmlns:c16="http://schemas.microsoft.com/office/drawing/2014/chart" uri="{C3380CC4-5D6E-409C-BE32-E72D297353CC}">
              <c16:uniqueId val="{00000004-4C52-4595-9F26-153DE9EB1476}"/>
            </c:ext>
          </c:extLst>
        </c:ser>
        <c:ser>
          <c:idx val="10"/>
          <c:order val="5"/>
          <c:tx>
            <c:strRef>
              <c:f>Resultaatgrafiek!$K$122</c:f>
              <c:strCache>
                <c:ptCount val="1"/>
                <c:pt idx="0">
                  <c:v>Zon-thermisch</c:v>
                </c:pt>
              </c:strCache>
            </c:strRef>
          </c:tx>
          <c:spPr>
            <a:solidFill>
              <a:srgbClr val="FF9900"/>
            </a:solidFill>
          </c:spPr>
          <c:invertIfNegative val="0"/>
          <c:cat>
            <c:numRef>
              <c:f>Resultaatgrafiek!$A$124:$A$158</c:f>
              <c:numCache>
                <c:formatCode>General</c:formatCode>
                <c:ptCount val="3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numCache>
            </c:numRef>
          </c:cat>
          <c:val>
            <c:numRef>
              <c:f>Resultaatgrafiek!$K$124:$K$158</c:f>
              <c:numCache>
                <c:formatCode>_ * #,##0_ ;_ * \-#,##0_ ;_ * "-"??_ ;_ @_ </c:formatCode>
                <c:ptCount val="35"/>
                <c:pt idx="0">
                  <c:v>0</c:v>
                </c:pt>
                <c:pt idx="1">
                  <c:v>0</c:v>
                </c:pt>
                <c:pt idx="2">
                  <c:v>0</c:v>
                </c:pt>
                <c:pt idx="3">
                  <c:v>0</c:v>
                </c:pt>
                <c:pt idx="4">
                  <c:v>0</c:v>
                </c:pt>
                <c:pt idx="5">
                  <c:v>0</c:v>
                </c:pt>
                <c:pt idx="6">
                  <c:v>0</c:v>
                </c:pt>
                <c:pt idx="7">
                  <c:v>0</c:v>
                </c:pt>
                <c:pt idx="8">
                  <c:v>0</c:v>
                </c:pt>
                <c:pt idx="9">
                  <c:v>0</c:v>
                </c:pt>
                <c:pt idx="10">
                  <c:v>0</c:v>
                </c:pt>
                <c:pt idx="11">
                  <c:v>1.4404761904761905</c:v>
                </c:pt>
                <c:pt idx="12">
                  <c:v>2.8809523809523809</c:v>
                </c:pt>
                <c:pt idx="13">
                  <c:v>4.3214285714285721</c:v>
                </c:pt>
                <c:pt idx="14">
                  <c:v>5.7619047619047619</c:v>
                </c:pt>
                <c:pt idx="15">
                  <c:v>7.2023809523809526</c:v>
                </c:pt>
                <c:pt idx="16">
                  <c:v>8.6428571428571441</c:v>
                </c:pt>
                <c:pt idx="17">
                  <c:v>10.083333333333334</c:v>
                </c:pt>
                <c:pt idx="18">
                  <c:v>10.083333333333334</c:v>
                </c:pt>
                <c:pt idx="19">
                  <c:v>10.083333333333334</c:v>
                </c:pt>
                <c:pt idx="20">
                  <c:v>10.083333333333334</c:v>
                </c:pt>
                <c:pt idx="21">
                  <c:v>10.083333333333334</c:v>
                </c:pt>
                <c:pt idx="22">
                  <c:v>10.083333333333334</c:v>
                </c:pt>
                <c:pt idx="23">
                  <c:v>10.083333333333334</c:v>
                </c:pt>
                <c:pt idx="24">
                  <c:v>10.083333333333334</c:v>
                </c:pt>
                <c:pt idx="25">
                  <c:v>10.083333333333334</c:v>
                </c:pt>
                <c:pt idx="26">
                  <c:v>8.6428571428571441</c:v>
                </c:pt>
                <c:pt idx="27">
                  <c:v>7.2023809523809526</c:v>
                </c:pt>
                <c:pt idx="28">
                  <c:v>5.7619047619047619</c:v>
                </c:pt>
                <c:pt idx="29">
                  <c:v>4.3214285714285721</c:v>
                </c:pt>
                <c:pt idx="30">
                  <c:v>2.8809523809523814</c:v>
                </c:pt>
                <c:pt idx="31">
                  <c:v>1.4404761904761909</c:v>
                </c:pt>
                <c:pt idx="32">
                  <c:v>0</c:v>
                </c:pt>
                <c:pt idx="33">
                  <c:v>0</c:v>
                </c:pt>
                <c:pt idx="34">
                  <c:v>0</c:v>
                </c:pt>
              </c:numCache>
            </c:numRef>
          </c:val>
          <c:extLst xmlns:c16r2="http://schemas.microsoft.com/office/drawing/2015/06/chart">
            <c:ext xmlns:c16="http://schemas.microsoft.com/office/drawing/2014/chart" uri="{C3380CC4-5D6E-409C-BE32-E72D297353CC}">
              <c16:uniqueId val="{00000005-4C52-4595-9F26-153DE9EB1476}"/>
            </c:ext>
          </c:extLst>
        </c:ser>
        <c:ser>
          <c:idx val="9"/>
          <c:order val="6"/>
          <c:tx>
            <c:strRef>
              <c:f>Resultaatgrafiek!$L$122</c:f>
              <c:strCache>
                <c:ptCount val="1"/>
                <c:pt idx="0">
                  <c:v>Geothermie</c:v>
                </c:pt>
              </c:strCache>
            </c:strRef>
          </c:tx>
          <c:spPr>
            <a:solidFill>
              <a:schemeClr val="accent2">
                <a:lumMod val="40000"/>
                <a:lumOff val="60000"/>
              </a:schemeClr>
            </a:solidFill>
          </c:spPr>
          <c:invertIfNegative val="0"/>
          <c:cat>
            <c:numRef>
              <c:f>Resultaatgrafiek!$A$124:$A$158</c:f>
              <c:numCache>
                <c:formatCode>General</c:formatCode>
                <c:ptCount val="3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numCache>
            </c:numRef>
          </c:cat>
          <c:val>
            <c:numRef>
              <c:f>Resultaatgrafiek!$L$124:$L$158</c:f>
              <c:numCache>
                <c:formatCode>_ * #,##0_ ;_ * \-#,##0_ ;_ * "-"??_ ;_ @_ </c:formatCode>
                <c:ptCount val="35"/>
                <c:pt idx="0">
                  <c:v>0</c:v>
                </c:pt>
                <c:pt idx="1">
                  <c:v>0</c:v>
                </c:pt>
                <c:pt idx="2">
                  <c:v>0</c:v>
                </c:pt>
                <c:pt idx="3">
                  <c:v>0</c:v>
                </c:pt>
                <c:pt idx="4">
                  <c:v>0</c:v>
                </c:pt>
                <c:pt idx="5">
                  <c:v>0</c:v>
                </c:pt>
                <c:pt idx="6">
                  <c:v>0</c:v>
                </c:pt>
                <c:pt idx="7">
                  <c:v>0</c:v>
                </c:pt>
                <c:pt idx="8">
                  <c:v>0</c:v>
                </c:pt>
                <c:pt idx="9">
                  <c:v>0</c:v>
                </c:pt>
                <c:pt idx="10">
                  <c:v>0</c:v>
                </c:pt>
                <c:pt idx="11">
                  <c:v>9.8214285714285694</c:v>
                </c:pt>
                <c:pt idx="12">
                  <c:v>19.642857142857139</c:v>
                </c:pt>
                <c:pt idx="13">
                  <c:v>29.464285714285708</c:v>
                </c:pt>
                <c:pt idx="14">
                  <c:v>39.285714285714278</c:v>
                </c:pt>
                <c:pt idx="15">
                  <c:v>49.107142857142854</c:v>
                </c:pt>
                <c:pt idx="16">
                  <c:v>58.928571428571416</c:v>
                </c:pt>
                <c:pt idx="17">
                  <c:v>68.749999999999986</c:v>
                </c:pt>
                <c:pt idx="18">
                  <c:v>68.749999999999986</c:v>
                </c:pt>
                <c:pt idx="19">
                  <c:v>68.749999999999986</c:v>
                </c:pt>
                <c:pt idx="20">
                  <c:v>68.749999999999986</c:v>
                </c:pt>
                <c:pt idx="21">
                  <c:v>68.749999999999986</c:v>
                </c:pt>
                <c:pt idx="22">
                  <c:v>68.749999999999986</c:v>
                </c:pt>
                <c:pt idx="23">
                  <c:v>68.749999999999986</c:v>
                </c:pt>
                <c:pt idx="24">
                  <c:v>68.749999999999986</c:v>
                </c:pt>
                <c:pt idx="25">
                  <c:v>68.749999999999986</c:v>
                </c:pt>
                <c:pt idx="26">
                  <c:v>58.928571428571416</c:v>
                </c:pt>
                <c:pt idx="27">
                  <c:v>49.107142857142854</c:v>
                </c:pt>
                <c:pt idx="28">
                  <c:v>39.285714285714285</c:v>
                </c:pt>
                <c:pt idx="29">
                  <c:v>29.464285714285715</c:v>
                </c:pt>
                <c:pt idx="30">
                  <c:v>19.642857142857149</c:v>
                </c:pt>
                <c:pt idx="31">
                  <c:v>9.8214285714285783</c:v>
                </c:pt>
                <c:pt idx="32">
                  <c:v>0</c:v>
                </c:pt>
                <c:pt idx="33">
                  <c:v>0</c:v>
                </c:pt>
                <c:pt idx="34">
                  <c:v>0</c:v>
                </c:pt>
              </c:numCache>
            </c:numRef>
          </c:val>
          <c:extLst xmlns:c16r2="http://schemas.microsoft.com/office/drawing/2015/06/chart">
            <c:ext xmlns:c16="http://schemas.microsoft.com/office/drawing/2014/chart" uri="{C3380CC4-5D6E-409C-BE32-E72D297353CC}">
              <c16:uniqueId val="{00000006-4C52-4595-9F26-153DE9EB1476}"/>
            </c:ext>
          </c:extLst>
        </c:ser>
        <c:ser>
          <c:idx val="7"/>
          <c:order val="7"/>
          <c:tx>
            <c:strRef>
              <c:f>Resultaatgrafiek!$M$122</c:f>
              <c:strCache>
                <c:ptCount val="1"/>
                <c:pt idx="0">
                  <c:v>WKO + warmtepompen</c:v>
                </c:pt>
              </c:strCache>
            </c:strRef>
          </c:tx>
          <c:spPr>
            <a:solidFill>
              <a:srgbClr val="CC706E"/>
            </a:solidFill>
          </c:spPr>
          <c:invertIfNegative val="0"/>
          <c:cat>
            <c:numRef>
              <c:f>Resultaatgrafiek!$A$124:$A$158</c:f>
              <c:numCache>
                <c:formatCode>General</c:formatCode>
                <c:ptCount val="3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numCache>
            </c:numRef>
          </c:cat>
          <c:val>
            <c:numRef>
              <c:f>Resultaatgrafiek!$M$124:$M$158</c:f>
              <c:numCache>
                <c:formatCode>_ * #,##0_ ;_ * \-#,##0_ ;_ * "-"??_ ;_ @_ </c:formatCode>
                <c:ptCount val="35"/>
                <c:pt idx="0">
                  <c:v>0</c:v>
                </c:pt>
                <c:pt idx="1">
                  <c:v>0</c:v>
                </c:pt>
                <c:pt idx="2">
                  <c:v>0</c:v>
                </c:pt>
                <c:pt idx="3">
                  <c:v>0</c:v>
                </c:pt>
                <c:pt idx="4">
                  <c:v>0</c:v>
                </c:pt>
                <c:pt idx="5">
                  <c:v>0</c:v>
                </c:pt>
                <c:pt idx="6">
                  <c:v>0</c:v>
                </c:pt>
                <c:pt idx="7">
                  <c:v>0</c:v>
                </c:pt>
                <c:pt idx="8">
                  <c:v>0</c:v>
                </c:pt>
                <c:pt idx="9">
                  <c:v>0</c:v>
                </c:pt>
                <c:pt idx="10">
                  <c:v>0</c:v>
                </c:pt>
                <c:pt idx="11">
                  <c:v>3.1746031746031744</c:v>
                </c:pt>
                <c:pt idx="12">
                  <c:v>6.3492063492063489</c:v>
                </c:pt>
                <c:pt idx="13">
                  <c:v>9.5238095238095237</c:v>
                </c:pt>
                <c:pt idx="14">
                  <c:v>12.698412698412698</c:v>
                </c:pt>
                <c:pt idx="15">
                  <c:v>15.873015873015872</c:v>
                </c:pt>
                <c:pt idx="16">
                  <c:v>19.047619047619044</c:v>
                </c:pt>
                <c:pt idx="17">
                  <c:v>22.222222222222225</c:v>
                </c:pt>
                <c:pt idx="18">
                  <c:v>22.222222222222225</c:v>
                </c:pt>
                <c:pt idx="19">
                  <c:v>22.222222222222225</c:v>
                </c:pt>
                <c:pt idx="20">
                  <c:v>22.222222222222225</c:v>
                </c:pt>
                <c:pt idx="21">
                  <c:v>22.222222222222225</c:v>
                </c:pt>
                <c:pt idx="22">
                  <c:v>22.222222222222225</c:v>
                </c:pt>
                <c:pt idx="23">
                  <c:v>22.222222222222225</c:v>
                </c:pt>
                <c:pt idx="24">
                  <c:v>22.222222222222225</c:v>
                </c:pt>
                <c:pt idx="25">
                  <c:v>22.222222222222225</c:v>
                </c:pt>
                <c:pt idx="26">
                  <c:v>19.047619047619051</c:v>
                </c:pt>
                <c:pt idx="27">
                  <c:v>15.873015873015877</c:v>
                </c:pt>
                <c:pt idx="28">
                  <c:v>12.698412698412703</c:v>
                </c:pt>
                <c:pt idx="29">
                  <c:v>9.5238095238095291</c:v>
                </c:pt>
                <c:pt idx="30">
                  <c:v>6.3492063492063542</c:v>
                </c:pt>
                <c:pt idx="31">
                  <c:v>3.1746031746031798</c:v>
                </c:pt>
                <c:pt idx="32">
                  <c:v>4.9343245538895852E-15</c:v>
                </c:pt>
                <c:pt idx="33">
                  <c:v>0</c:v>
                </c:pt>
                <c:pt idx="34">
                  <c:v>0</c:v>
                </c:pt>
              </c:numCache>
            </c:numRef>
          </c:val>
          <c:extLst xmlns:c16r2="http://schemas.microsoft.com/office/drawing/2015/06/chart">
            <c:ext xmlns:c16="http://schemas.microsoft.com/office/drawing/2014/chart" uri="{C3380CC4-5D6E-409C-BE32-E72D297353CC}">
              <c16:uniqueId val="{00000007-4C52-4595-9F26-153DE9EB1476}"/>
            </c:ext>
          </c:extLst>
        </c:ser>
        <c:ser>
          <c:idx val="5"/>
          <c:order val="8"/>
          <c:tx>
            <c:strRef>
              <c:f>Resultaatgrafiek!$N$122</c:f>
              <c:strCache>
                <c:ptCount val="1"/>
                <c:pt idx="0">
                  <c:v>Biomassa - tbv elektriciteit</c:v>
                </c:pt>
              </c:strCache>
            </c:strRef>
          </c:tx>
          <c:spPr>
            <a:solidFill>
              <a:srgbClr val="CDE1AF"/>
            </a:solidFill>
          </c:spPr>
          <c:invertIfNegative val="0"/>
          <c:cat>
            <c:numRef>
              <c:f>Resultaatgrafiek!$A$124:$A$158</c:f>
              <c:numCache>
                <c:formatCode>General</c:formatCode>
                <c:ptCount val="3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numCache>
            </c:numRef>
          </c:cat>
          <c:val>
            <c:numRef>
              <c:f>Resultaatgrafiek!$N$124:$N$158</c:f>
              <c:numCache>
                <c:formatCode>_ * #,##0_ ;_ * \-#,##0_ ;_ * "-"??_ ;_ @_ </c:formatCode>
                <c:ptCount val="35"/>
                <c:pt idx="0">
                  <c:v>265.17290322580646</c:v>
                </c:pt>
                <c:pt idx="1">
                  <c:v>298.31951612903225</c:v>
                </c:pt>
                <c:pt idx="2">
                  <c:v>298.31951612903225</c:v>
                </c:pt>
                <c:pt idx="3">
                  <c:v>298.31951612903225</c:v>
                </c:pt>
                <c:pt idx="4">
                  <c:v>338.68546132258069</c:v>
                </c:pt>
                <c:pt idx="5">
                  <c:v>383.23119440322586</c:v>
                </c:pt>
                <c:pt idx="6">
                  <c:v>482.67103311290327</c:v>
                </c:pt>
                <c:pt idx="7">
                  <c:v>499.24433956451617</c:v>
                </c:pt>
                <c:pt idx="8">
                  <c:v>515.81764601612906</c:v>
                </c:pt>
                <c:pt idx="9">
                  <c:v>515.81764601612906</c:v>
                </c:pt>
                <c:pt idx="10">
                  <c:v>449.52442020967749</c:v>
                </c:pt>
                <c:pt idx="11">
                  <c:v>363.34322666129037</c:v>
                </c:pt>
                <c:pt idx="12">
                  <c:v>436.96206178673839</c:v>
                </c:pt>
                <c:pt idx="13">
                  <c:v>663.0553162670252</c:v>
                </c:pt>
                <c:pt idx="14">
                  <c:v>646.58828684408604</c:v>
                </c:pt>
                <c:pt idx="15">
                  <c:v>1136.3581362007171</c:v>
                </c:pt>
                <c:pt idx="16">
                  <c:v>1176.8303584229393</c:v>
                </c:pt>
                <c:pt idx="17">
                  <c:v>1190.7852903225807</c:v>
                </c:pt>
                <c:pt idx="18">
                  <c:v>1084.7161290322581</c:v>
                </c:pt>
                <c:pt idx="19">
                  <c:v>1084.7161290322581</c:v>
                </c:pt>
                <c:pt idx="20">
                  <c:v>1068.1428225806453</c:v>
                </c:pt>
                <c:pt idx="21">
                  <c:v>1051.5695161290323</c:v>
                </c:pt>
                <c:pt idx="22">
                  <c:v>1034.9962096774195</c:v>
                </c:pt>
                <c:pt idx="23">
                  <c:v>508.00623655913984</c:v>
                </c:pt>
                <c:pt idx="24">
                  <c:v>491.43293010752694</c:v>
                </c:pt>
                <c:pt idx="25">
                  <c:v>474.85962365591405</c:v>
                </c:pt>
                <c:pt idx="26">
                  <c:v>441.71301075268821</c:v>
                </c:pt>
                <c:pt idx="27">
                  <c:v>375.41978494623663</c:v>
                </c:pt>
                <c:pt idx="28">
                  <c:v>264.67674336917571</c:v>
                </c:pt>
                <c:pt idx="29">
                  <c:v>161.88888888888894</c:v>
                </c:pt>
                <c:pt idx="30">
                  <c:v>121.41666666666671</c:v>
                </c:pt>
                <c:pt idx="31">
                  <c:v>80.9444444444445</c:v>
                </c:pt>
                <c:pt idx="32">
                  <c:v>0</c:v>
                </c:pt>
                <c:pt idx="33">
                  <c:v>0</c:v>
                </c:pt>
                <c:pt idx="34">
                  <c:v>0</c:v>
                </c:pt>
              </c:numCache>
            </c:numRef>
          </c:val>
          <c:extLst xmlns:c16r2="http://schemas.microsoft.com/office/drawing/2015/06/chart">
            <c:ext xmlns:c16="http://schemas.microsoft.com/office/drawing/2014/chart" uri="{C3380CC4-5D6E-409C-BE32-E72D297353CC}">
              <c16:uniqueId val="{00000008-4C52-4595-9F26-153DE9EB1476}"/>
            </c:ext>
          </c:extLst>
        </c:ser>
        <c:ser>
          <c:idx val="4"/>
          <c:order val="9"/>
          <c:tx>
            <c:strRef>
              <c:f>Resultaatgrafiek!$O$122</c:f>
              <c:strCache>
                <c:ptCount val="1"/>
                <c:pt idx="0">
                  <c:v>Biomassa - tbv warmte</c:v>
                </c:pt>
              </c:strCache>
            </c:strRef>
          </c:tx>
          <c:spPr>
            <a:solidFill>
              <a:srgbClr val="B4CD82"/>
            </a:solidFill>
          </c:spPr>
          <c:invertIfNegative val="0"/>
          <c:cat>
            <c:numRef>
              <c:f>Resultaatgrafiek!$A$124:$A$158</c:f>
              <c:numCache>
                <c:formatCode>General</c:formatCode>
                <c:ptCount val="3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numCache>
            </c:numRef>
          </c:cat>
          <c:val>
            <c:numRef>
              <c:f>Resultaatgrafiek!$O$124:$O$158</c:f>
              <c:numCache>
                <c:formatCode>_ * #,##0_ ;_ * \-#,##0_ ;_ * "-"??_ ;_ @_ </c:formatCode>
                <c:ptCount val="35"/>
                <c:pt idx="0">
                  <c:v>0</c:v>
                </c:pt>
                <c:pt idx="1">
                  <c:v>0</c:v>
                </c:pt>
                <c:pt idx="2">
                  <c:v>0</c:v>
                </c:pt>
                <c:pt idx="3">
                  <c:v>0</c:v>
                </c:pt>
                <c:pt idx="4">
                  <c:v>0</c:v>
                </c:pt>
                <c:pt idx="5">
                  <c:v>0</c:v>
                </c:pt>
                <c:pt idx="6">
                  <c:v>0</c:v>
                </c:pt>
                <c:pt idx="7">
                  <c:v>0</c:v>
                </c:pt>
                <c:pt idx="8">
                  <c:v>0</c:v>
                </c:pt>
                <c:pt idx="9">
                  <c:v>0</c:v>
                </c:pt>
                <c:pt idx="10">
                  <c:v>0</c:v>
                </c:pt>
                <c:pt idx="11">
                  <c:v>43.923571428571421</c:v>
                </c:pt>
                <c:pt idx="12">
                  <c:v>87.847142857142842</c:v>
                </c:pt>
                <c:pt idx="13">
                  <c:v>131.77071428571426</c:v>
                </c:pt>
                <c:pt idx="14">
                  <c:v>175.69428571428568</c:v>
                </c:pt>
                <c:pt idx="15">
                  <c:v>219.61785714285708</c:v>
                </c:pt>
                <c:pt idx="16">
                  <c:v>263.54142857142853</c:v>
                </c:pt>
                <c:pt idx="17">
                  <c:v>307.46499999999997</c:v>
                </c:pt>
                <c:pt idx="18">
                  <c:v>307.46499999999997</c:v>
                </c:pt>
                <c:pt idx="19">
                  <c:v>307.46499999999997</c:v>
                </c:pt>
                <c:pt idx="20">
                  <c:v>307.46499999999997</c:v>
                </c:pt>
                <c:pt idx="21">
                  <c:v>307.46499999999997</c:v>
                </c:pt>
                <c:pt idx="22">
                  <c:v>307.46499999999997</c:v>
                </c:pt>
                <c:pt idx="23">
                  <c:v>307.46499999999997</c:v>
                </c:pt>
                <c:pt idx="24">
                  <c:v>307.46499999999997</c:v>
                </c:pt>
                <c:pt idx="25">
                  <c:v>307.46499999999997</c:v>
                </c:pt>
                <c:pt idx="26">
                  <c:v>307.46499999999997</c:v>
                </c:pt>
                <c:pt idx="27">
                  <c:v>307.46499999999997</c:v>
                </c:pt>
                <c:pt idx="28">
                  <c:v>203.29833333333332</c:v>
                </c:pt>
                <c:pt idx="29">
                  <c:v>99.131666666666618</c:v>
                </c:pt>
                <c:pt idx="30">
                  <c:v>-5.0350000000000783</c:v>
                </c:pt>
                <c:pt idx="31">
                  <c:v>0</c:v>
                </c:pt>
                <c:pt idx="32">
                  <c:v>0</c:v>
                </c:pt>
                <c:pt idx="33">
                  <c:v>0</c:v>
                </c:pt>
                <c:pt idx="34">
                  <c:v>0</c:v>
                </c:pt>
              </c:numCache>
            </c:numRef>
          </c:val>
          <c:extLst xmlns:c16r2="http://schemas.microsoft.com/office/drawing/2015/06/chart">
            <c:ext xmlns:c16="http://schemas.microsoft.com/office/drawing/2014/chart" uri="{C3380CC4-5D6E-409C-BE32-E72D297353CC}">
              <c16:uniqueId val="{00000009-4C52-4595-9F26-153DE9EB1476}"/>
            </c:ext>
          </c:extLst>
        </c:ser>
        <c:ser>
          <c:idx val="3"/>
          <c:order val="10"/>
          <c:tx>
            <c:strRef>
              <c:f>Resultaatgrafiek!$P$122</c:f>
              <c:strCache>
                <c:ptCount val="1"/>
                <c:pt idx="0">
                  <c:v>Biobrandstof bijmengen - tbv vervoer</c:v>
                </c:pt>
              </c:strCache>
            </c:strRef>
          </c:tx>
          <c:spPr>
            <a:solidFill>
              <a:srgbClr val="88A945"/>
            </a:solidFill>
          </c:spPr>
          <c:invertIfNegative val="0"/>
          <c:cat>
            <c:numRef>
              <c:f>Resultaatgrafiek!$A$124:$A$158</c:f>
              <c:numCache>
                <c:formatCode>General</c:formatCode>
                <c:ptCount val="3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numCache>
            </c:numRef>
          </c:cat>
          <c:val>
            <c:numRef>
              <c:f>Resultaatgrafiek!$P$124:$P$158</c:f>
              <c:numCache>
                <c:formatCode>_ * #,##0_ ;_ * \-#,##0_ ;_ * "-"??_ ;_ @_ </c:formatCode>
                <c:ptCount val="35"/>
                <c:pt idx="0">
                  <c:v>0</c:v>
                </c:pt>
                <c:pt idx="1">
                  <c:v>0</c:v>
                </c:pt>
                <c:pt idx="2">
                  <c:v>0</c:v>
                </c:pt>
                <c:pt idx="3">
                  <c:v>0</c:v>
                </c:pt>
                <c:pt idx="4">
                  <c:v>0</c:v>
                </c:pt>
                <c:pt idx="5">
                  <c:v>0.88467973581047943</c:v>
                </c:pt>
                <c:pt idx="6">
                  <c:v>42.906967186808274</c:v>
                </c:pt>
                <c:pt idx="7">
                  <c:v>84.929254637806068</c:v>
                </c:pt>
                <c:pt idx="8">
                  <c:v>101.73816961820518</c:v>
                </c:pt>
                <c:pt idx="9">
                  <c:v>118.5470845986043</c:v>
                </c:pt>
                <c:pt idx="10">
                  <c:v>114.12368591955192</c:v>
                </c:pt>
                <c:pt idx="11">
                  <c:v>131.81728063576148</c:v>
                </c:pt>
                <c:pt idx="12">
                  <c:v>117.66240486279378</c:v>
                </c:pt>
                <c:pt idx="13">
                  <c:v>131.81728063576148</c:v>
                </c:pt>
                <c:pt idx="14">
                  <c:v>175.16658769047496</c:v>
                </c:pt>
                <c:pt idx="15">
                  <c:v>218.51589474518852</c:v>
                </c:pt>
                <c:pt idx="16">
                  <c:v>261.86520179990202</c:v>
                </c:pt>
                <c:pt idx="17">
                  <c:v>305.21450885461547</c:v>
                </c:pt>
                <c:pt idx="18">
                  <c:v>304.32982911880504</c:v>
                </c:pt>
                <c:pt idx="19">
                  <c:v>303.44514938299443</c:v>
                </c:pt>
                <c:pt idx="20">
                  <c:v>302.56046964718394</c:v>
                </c:pt>
                <c:pt idx="21">
                  <c:v>300.91749299496473</c:v>
                </c:pt>
                <c:pt idx="22">
                  <c:v>299.2745163427453</c:v>
                </c:pt>
                <c:pt idx="23">
                  <c:v>297.63153969052576</c:v>
                </c:pt>
                <c:pt idx="24">
                  <c:v>295.98856303830632</c:v>
                </c:pt>
                <c:pt idx="25">
                  <c:v>294.34558638608701</c:v>
                </c:pt>
                <c:pt idx="26">
                  <c:v>292.70260973386758</c:v>
                </c:pt>
                <c:pt idx="27">
                  <c:v>291.05963308164775</c:v>
                </c:pt>
                <c:pt idx="28">
                  <c:v>291.05963308164775</c:v>
                </c:pt>
                <c:pt idx="29">
                  <c:v>291.05963308164775</c:v>
                </c:pt>
                <c:pt idx="30">
                  <c:v>291.05963308164775</c:v>
                </c:pt>
                <c:pt idx="31">
                  <c:v>291.05963308164775</c:v>
                </c:pt>
                <c:pt idx="32">
                  <c:v>291.05963308164775</c:v>
                </c:pt>
                <c:pt idx="33">
                  <c:v>0</c:v>
                </c:pt>
                <c:pt idx="34">
                  <c:v>0</c:v>
                </c:pt>
              </c:numCache>
            </c:numRef>
          </c:val>
          <c:extLst xmlns:c16r2="http://schemas.microsoft.com/office/drawing/2015/06/chart">
            <c:ext xmlns:c16="http://schemas.microsoft.com/office/drawing/2014/chart" uri="{C3380CC4-5D6E-409C-BE32-E72D297353CC}">
              <c16:uniqueId val="{0000000A-4C52-4595-9F26-153DE9EB1476}"/>
            </c:ext>
          </c:extLst>
        </c:ser>
        <c:ser>
          <c:idx val="0"/>
          <c:order val="11"/>
          <c:tx>
            <c:strRef>
              <c:f>Resultaatgrafiek!$Q$122</c:f>
              <c:strCache>
                <c:ptCount val="1"/>
                <c:pt idx="0">
                  <c:v>Schone voertuigen</c:v>
                </c:pt>
              </c:strCache>
            </c:strRef>
          </c:tx>
          <c:spPr>
            <a:solidFill>
              <a:srgbClr val="CAC4A2"/>
            </a:solidFill>
          </c:spPr>
          <c:invertIfNegative val="0"/>
          <c:cat>
            <c:numRef>
              <c:f>Resultaatgrafiek!$A$124:$A$158</c:f>
              <c:numCache>
                <c:formatCode>General</c:formatCode>
                <c:ptCount val="3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numCache>
            </c:numRef>
          </c:cat>
          <c:val>
            <c:numRef>
              <c:f>Resultaatgrafiek!$Q$124:$Q$156</c:f>
              <c:numCache>
                <c:formatCode>_ * #,##0_ ;_ * \-#,##0_ ;_ * "-"??_ ;_ @_ </c:formatCode>
                <c:ptCount val="33"/>
                <c:pt idx="0">
                  <c:v>0</c:v>
                </c:pt>
                <c:pt idx="1">
                  <c:v>0</c:v>
                </c:pt>
                <c:pt idx="2">
                  <c:v>0</c:v>
                </c:pt>
                <c:pt idx="3">
                  <c:v>0</c:v>
                </c:pt>
                <c:pt idx="4">
                  <c:v>0</c:v>
                </c:pt>
                <c:pt idx="5">
                  <c:v>55</c:v>
                </c:pt>
                <c:pt idx="6">
                  <c:v>364</c:v>
                </c:pt>
                <c:pt idx="7">
                  <c:v>719</c:v>
                </c:pt>
                <c:pt idx="8">
                  <c:v>1177</c:v>
                </c:pt>
                <c:pt idx="9">
                  <c:v>1425</c:v>
                </c:pt>
                <c:pt idx="10">
                  <c:v>1535</c:v>
                </c:pt>
                <c:pt idx="11">
                  <c:v>662.46</c:v>
                </c:pt>
                <c:pt idx="12">
                  <c:v>203.26499999999999</c:v>
                </c:pt>
                <c:pt idx="13">
                  <c:v>170.95500000000001</c:v>
                </c:pt>
                <c:pt idx="14">
                  <c:v>315</c:v>
                </c:pt>
                <c:pt idx="15">
                  <c:v>315</c:v>
                </c:pt>
                <c:pt idx="16">
                  <c:v>315</c:v>
                </c:pt>
                <c:pt idx="17">
                  <c:v>315</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xmlns:c16r2="http://schemas.microsoft.com/office/drawing/2015/06/chart">
            <c:ext xmlns:c16="http://schemas.microsoft.com/office/drawing/2014/chart" uri="{C3380CC4-5D6E-409C-BE32-E72D297353CC}">
              <c16:uniqueId val="{0000000B-4C52-4595-9F26-153DE9EB1476}"/>
            </c:ext>
          </c:extLst>
        </c:ser>
        <c:ser>
          <c:idx val="1"/>
          <c:order val="12"/>
          <c:tx>
            <c:strRef>
              <c:f>Resultaatgrafiek!$R$122</c:f>
              <c:strCache>
                <c:ptCount val="1"/>
                <c:pt idx="0">
                  <c:v>Energienetwerk uitbreiden</c:v>
                </c:pt>
              </c:strCache>
            </c:strRef>
          </c:tx>
          <c:spPr>
            <a:solidFill>
              <a:srgbClr val="B9AF82"/>
            </a:solidFill>
          </c:spPr>
          <c:invertIfNegative val="0"/>
          <c:cat>
            <c:numRef>
              <c:f>Resultaatgrafiek!$A$124:$A$158</c:f>
              <c:numCache>
                <c:formatCode>General</c:formatCode>
                <c:ptCount val="3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numCache>
            </c:numRef>
          </c:cat>
          <c:val>
            <c:numRef>
              <c:f>Resultaatgrafiek!$R$124:$R$156</c:f>
              <c:numCache>
                <c:formatCode>_ * #,##0_ ;_ * \-#,##0_ ;_ * "-"??_ ;_ @_ </c:formatCode>
                <c:ptCount val="33"/>
                <c:pt idx="0">
                  <c:v>0</c:v>
                </c:pt>
                <c:pt idx="1">
                  <c:v>0</c:v>
                </c:pt>
                <c:pt idx="2">
                  <c:v>0</c:v>
                </c:pt>
                <c:pt idx="3">
                  <c:v>0</c:v>
                </c:pt>
                <c:pt idx="4">
                  <c:v>0</c:v>
                </c:pt>
                <c:pt idx="5">
                  <c:v>0</c:v>
                </c:pt>
                <c:pt idx="6">
                  <c:v>0</c:v>
                </c:pt>
                <c:pt idx="7">
                  <c:v>0</c:v>
                </c:pt>
                <c:pt idx="8">
                  <c:v>0</c:v>
                </c:pt>
                <c:pt idx="9">
                  <c:v>0</c:v>
                </c:pt>
                <c:pt idx="10">
                  <c:v>827.66899999999998</c:v>
                </c:pt>
                <c:pt idx="11">
                  <c:v>835.90359999999998</c:v>
                </c:pt>
                <c:pt idx="12">
                  <c:v>871.36236874999997</c:v>
                </c:pt>
                <c:pt idx="13">
                  <c:v>915.89421874999994</c:v>
                </c:pt>
                <c:pt idx="14">
                  <c:v>1613.68748125</c:v>
                </c:pt>
                <c:pt idx="15">
                  <c:v>1653.8582437499999</c:v>
                </c:pt>
                <c:pt idx="16">
                  <c:v>1694.0290062500001</c:v>
                </c:pt>
                <c:pt idx="17">
                  <c:v>1866.7315187499999</c:v>
                </c:pt>
                <c:pt idx="18">
                  <c:v>1121.8419187499999</c:v>
                </c:pt>
                <c:pt idx="19">
                  <c:v>589.45231875000013</c:v>
                </c:pt>
                <c:pt idx="20">
                  <c:v>657.06271875000004</c:v>
                </c:pt>
                <c:pt idx="21">
                  <c:v>657.06271875000004</c:v>
                </c:pt>
                <c:pt idx="22">
                  <c:v>657.06271875000004</c:v>
                </c:pt>
                <c:pt idx="23">
                  <c:v>657.06271875000004</c:v>
                </c:pt>
                <c:pt idx="24">
                  <c:v>657.06271875000004</c:v>
                </c:pt>
                <c:pt idx="25">
                  <c:v>641.89371875000006</c:v>
                </c:pt>
                <c:pt idx="26">
                  <c:v>633.65911874999995</c:v>
                </c:pt>
                <c:pt idx="27">
                  <c:v>598.20034999999996</c:v>
                </c:pt>
                <c:pt idx="28">
                  <c:v>553.66849999999999</c:v>
                </c:pt>
                <c:pt idx="29">
                  <c:v>455.87523750000003</c:v>
                </c:pt>
                <c:pt idx="30">
                  <c:v>415.704475</c:v>
                </c:pt>
                <c:pt idx="31">
                  <c:v>375.53371249999998</c:v>
                </c:pt>
                <c:pt idx="32">
                  <c:v>202.83120000000002</c:v>
                </c:pt>
              </c:numCache>
            </c:numRef>
          </c:val>
          <c:extLst xmlns:c16r2="http://schemas.microsoft.com/office/drawing/2015/06/chart">
            <c:ext xmlns:c16="http://schemas.microsoft.com/office/drawing/2014/chart" uri="{C3380CC4-5D6E-409C-BE32-E72D297353CC}">
              <c16:uniqueId val="{0000000C-4C52-4595-9F26-153DE9EB1476}"/>
            </c:ext>
          </c:extLst>
        </c:ser>
        <c:ser>
          <c:idx val="8"/>
          <c:order val="13"/>
          <c:tx>
            <c:strRef>
              <c:f>Resultaatgrafiek!$S$122</c:f>
              <c:strCache>
                <c:ptCount val="1"/>
                <c:pt idx="0">
                  <c:v>Energiebesparing</c:v>
                </c:pt>
              </c:strCache>
            </c:strRef>
          </c:tx>
          <c:spPr>
            <a:solidFill>
              <a:schemeClr val="accent4">
                <a:lumMod val="40000"/>
                <a:lumOff val="60000"/>
              </a:schemeClr>
            </a:solidFill>
          </c:spPr>
          <c:invertIfNegative val="0"/>
          <c:cat>
            <c:numRef>
              <c:f>Resultaatgrafiek!$A$124:$A$158</c:f>
              <c:numCache>
                <c:formatCode>General</c:formatCode>
                <c:ptCount val="3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numCache>
            </c:numRef>
          </c:cat>
          <c:val>
            <c:numRef>
              <c:f>Resultaatgrafiek!$S$124:$S$156</c:f>
              <c:numCache>
                <c:formatCode>_ * #,##0_ ;_ * \-#,##0_ ;_ * "-"??_ ;_ @_ </c:formatCode>
                <c:ptCount val="33"/>
                <c:pt idx="0">
                  <c:v>150</c:v>
                </c:pt>
                <c:pt idx="1">
                  <c:v>167.1930242207701</c:v>
                </c:pt>
                <c:pt idx="2">
                  <c:v>187.10716380936614</c:v>
                </c:pt>
                <c:pt idx="3">
                  <c:v>206.89737935247089</c:v>
                </c:pt>
                <c:pt idx="4">
                  <c:v>228.11465982073122</c:v>
                </c:pt>
                <c:pt idx="5">
                  <c:v>249.0660450069181</c:v>
                </c:pt>
                <c:pt idx="6">
                  <c:v>270.75977131997979</c:v>
                </c:pt>
                <c:pt idx="7">
                  <c:v>294.6299888786113</c:v>
                </c:pt>
                <c:pt idx="8">
                  <c:v>316.42344263281268</c:v>
                </c:pt>
                <c:pt idx="9">
                  <c:v>340.38162353765051</c:v>
                </c:pt>
                <c:pt idx="10">
                  <c:v>418.45764756316646</c:v>
                </c:pt>
                <c:pt idx="11">
                  <c:v>445.9701919034697</c:v>
                </c:pt>
                <c:pt idx="12">
                  <c:v>496.24715972856717</c:v>
                </c:pt>
                <c:pt idx="13">
                  <c:v>599.86006341878078</c:v>
                </c:pt>
                <c:pt idx="14">
                  <c:v>623.23392152261226</c:v>
                </c:pt>
                <c:pt idx="15">
                  <c:v>654.09889871168252</c:v>
                </c:pt>
                <c:pt idx="16">
                  <c:v>684.96387590075267</c:v>
                </c:pt>
                <c:pt idx="17">
                  <c:v>715.82885308982304</c:v>
                </c:pt>
                <c:pt idx="18">
                  <c:v>567.91558027889334</c:v>
                </c:pt>
                <c:pt idx="19">
                  <c:v>567.91558027889334</c:v>
                </c:pt>
                <c:pt idx="20">
                  <c:v>567.91558027889334</c:v>
                </c:pt>
                <c:pt idx="21">
                  <c:v>567.91558027889334</c:v>
                </c:pt>
                <c:pt idx="22">
                  <c:v>567.91558027889334</c:v>
                </c:pt>
                <c:pt idx="23">
                  <c:v>567.91558027889334</c:v>
                </c:pt>
                <c:pt idx="24">
                  <c:v>567.91558027889334</c:v>
                </c:pt>
                <c:pt idx="25">
                  <c:v>567.91558027889334</c:v>
                </c:pt>
                <c:pt idx="26">
                  <c:v>567.91558027889334</c:v>
                </c:pt>
                <c:pt idx="27">
                  <c:v>567.91558027889334</c:v>
                </c:pt>
                <c:pt idx="28">
                  <c:v>567.91558027889334</c:v>
                </c:pt>
                <c:pt idx="29">
                  <c:v>567.91558027889334</c:v>
                </c:pt>
                <c:pt idx="30">
                  <c:v>567.91558027889334</c:v>
                </c:pt>
                <c:pt idx="31">
                  <c:v>567.91558027889334</c:v>
                </c:pt>
                <c:pt idx="32">
                  <c:v>567.91558027889334</c:v>
                </c:pt>
              </c:numCache>
            </c:numRef>
          </c:val>
          <c:extLst xmlns:c16r2="http://schemas.microsoft.com/office/drawing/2015/06/chart">
            <c:ext xmlns:c16="http://schemas.microsoft.com/office/drawing/2014/chart" uri="{C3380CC4-5D6E-409C-BE32-E72D297353CC}">
              <c16:uniqueId val="{0000000D-4C52-4595-9F26-153DE9EB1476}"/>
            </c:ext>
          </c:extLst>
        </c:ser>
        <c:ser>
          <c:idx val="17"/>
          <c:order val="14"/>
          <c:tx>
            <c:strRef>
              <c:f>Resultaatgrafiek!$T$122</c:f>
              <c:strCache>
                <c:ptCount val="1"/>
                <c:pt idx="0">
                  <c:v>Overig i.e. CCS, emissiehandel en innovatie</c:v>
                </c:pt>
              </c:strCache>
            </c:strRef>
          </c:tx>
          <c:spPr>
            <a:solidFill>
              <a:schemeClr val="accent4">
                <a:lumMod val="60000"/>
                <a:lumOff val="40000"/>
              </a:schemeClr>
            </a:solidFill>
          </c:spPr>
          <c:invertIfNegative val="0"/>
          <c:cat>
            <c:numRef>
              <c:f>Resultaatgrafiek!$A$124:$A$158</c:f>
              <c:numCache>
                <c:formatCode>General</c:formatCode>
                <c:ptCount val="3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numCache>
            </c:numRef>
          </c:cat>
          <c:val>
            <c:numRef>
              <c:f>Resultaatgrafiek!$T$124:$T$156</c:f>
              <c:numCache>
                <c:formatCode>_ * #,##0_ ;_ * \-#,##0_ ;_ * "-"??_ ;_ @_ </c:formatCode>
                <c:ptCount val="33"/>
                <c:pt idx="0">
                  <c:v>0</c:v>
                </c:pt>
                <c:pt idx="1">
                  <c:v>0</c:v>
                </c:pt>
                <c:pt idx="2">
                  <c:v>0</c:v>
                </c:pt>
                <c:pt idx="3">
                  <c:v>0</c:v>
                </c:pt>
                <c:pt idx="4">
                  <c:v>0</c:v>
                </c:pt>
                <c:pt idx="5">
                  <c:v>0</c:v>
                </c:pt>
                <c:pt idx="6">
                  <c:v>0</c:v>
                </c:pt>
                <c:pt idx="7">
                  <c:v>0</c:v>
                </c:pt>
                <c:pt idx="8">
                  <c:v>0</c:v>
                </c:pt>
                <c:pt idx="9">
                  <c:v>0</c:v>
                </c:pt>
                <c:pt idx="10">
                  <c:v>229.23974999999973</c:v>
                </c:pt>
                <c:pt idx="11">
                  <c:v>229.23974999999973</c:v>
                </c:pt>
                <c:pt idx="12">
                  <c:v>229.23974999999973</c:v>
                </c:pt>
                <c:pt idx="13">
                  <c:v>229.23974999999973</c:v>
                </c:pt>
                <c:pt idx="14">
                  <c:v>229.23974999999973</c:v>
                </c:pt>
                <c:pt idx="15">
                  <c:v>229.23974999999973</c:v>
                </c:pt>
                <c:pt idx="16">
                  <c:v>229.23974999999973</c:v>
                </c:pt>
                <c:pt idx="17">
                  <c:v>229.23974999999973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xmlns:c16r2="http://schemas.microsoft.com/office/drawing/2015/06/chart">
            <c:ext xmlns:c16="http://schemas.microsoft.com/office/drawing/2014/chart" uri="{C3380CC4-5D6E-409C-BE32-E72D297353CC}">
              <c16:uniqueId val="{0000000E-4C52-4595-9F26-153DE9EB1476}"/>
            </c:ext>
          </c:extLst>
        </c:ser>
        <c:dLbls>
          <c:showLegendKey val="0"/>
          <c:showVal val="0"/>
          <c:showCatName val="0"/>
          <c:showSerName val="0"/>
          <c:showPercent val="0"/>
          <c:showBubbleSize val="0"/>
        </c:dLbls>
        <c:gapWidth val="50"/>
        <c:overlap val="100"/>
        <c:axId val="330076544"/>
        <c:axId val="330078080"/>
      </c:barChart>
      <c:catAx>
        <c:axId val="330076544"/>
        <c:scaling>
          <c:orientation val="minMax"/>
        </c:scaling>
        <c:delete val="0"/>
        <c:axPos val="b"/>
        <c:numFmt formatCode="General" sourceLinked="0"/>
        <c:majorTickMark val="none"/>
        <c:minorTickMark val="none"/>
        <c:tickLblPos val="nextTo"/>
        <c:txPr>
          <a:bodyPr rot="-5400000" vert="horz"/>
          <a:lstStyle/>
          <a:p>
            <a:pPr>
              <a:defRPr sz="1100" b="0">
                <a:latin typeface="Arial" panose="020B0604020202020204" pitchFamily="34" charset="0"/>
                <a:cs typeface="Arial" panose="020B0604020202020204" pitchFamily="34" charset="0"/>
              </a:defRPr>
            </a:pPr>
            <a:endParaRPr lang="nl-NL"/>
          </a:p>
        </c:txPr>
        <c:crossAx val="330078080"/>
        <c:crosses val="autoZero"/>
        <c:auto val="1"/>
        <c:lblAlgn val="ctr"/>
        <c:lblOffset val="100"/>
        <c:noMultiLvlLbl val="0"/>
      </c:catAx>
      <c:valAx>
        <c:axId val="330078080"/>
        <c:scaling>
          <c:orientation val="minMax"/>
          <c:min val="0"/>
        </c:scaling>
        <c:delete val="0"/>
        <c:axPos val="l"/>
        <c:majorGridlines/>
        <c:title>
          <c:tx>
            <c:rich>
              <a:bodyPr rot="-5400000" vert="horz"/>
              <a:lstStyle/>
              <a:p>
                <a:pPr>
                  <a:defRPr sz="1600">
                    <a:latin typeface="Arial" panose="020B0604020202020204" pitchFamily="34" charset="0"/>
                    <a:cs typeface="Arial" panose="020B0604020202020204" pitchFamily="34" charset="0"/>
                  </a:defRPr>
                </a:pPr>
                <a:r>
                  <a:rPr lang="en-US" sz="1600">
                    <a:latin typeface="Arial" panose="020B0604020202020204" pitchFamily="34" charset="0"/>
                    <a:cs typeface="Arial" panose="020B0604020202020204" pitchFamily="34" charset="0"/>
                  </a:rPr>
                  <a:t>Uitgaven, mln €</a:t>
                </a:r>
              </a:p>
            </c:rich>
          </c:tx>
          <c:layout>
            <c:manualLayout>
              <c:xMode val="edge"/>
              <c:yMode val="edge"/>
              <c:x val="5.453642618996953E-4"/>
              <c:y val="0.29989183588893492"/>
            </c:manualLayout>
          </c:layout>
          <c:overlay val="0"/>
        </c:title>
        <c:numFmt formatCode="_ * #,##0_ ;_ * \-#,##0_ ;_ * &quot;-&quot;??_ ;_ @_ " sourceLinked="1"/>
        <c:majorTickMark val="none"/>
        <c:minorTickMark val="none"/>
        <c:tickLblPos val="nextTo"/>
        <c:txPr>
          <a:bodyPr/>
          <a:lstStyle/>
          <a:p>
            <a:pPr>
              <a:defRPr sz="1100">
                <a:latin typeface="Arial" panose="020B0604020202020204" pitchFamily="34" charset="0"/>
                <a:cs typeface="Arial" panose="020B0604020202020204" pitchFamily="34" charset="0"/>
              </a:defRPr>
            </a:pPr>
            <a:endParaRPr lang="nl-NL"/>
          </a:p>
        </c:txPr>
        <c:crossAx val="330076544"/>
        <c:crosses val="autoZero"/>
        <c:crossBetween val="between"/>
      </c:valAx>
      <c:spPr>
        <a:ln>
          <a:solidFill>
            <a:schemeClr val="bg1">
              <a:lumMod val="75000"/>
            </a:schemeClr>
          </a:solidFill>
        </a:ln>
      </c:spPr>
    </c:plotArea>
    <c:legend>
      <c:legendPos val="r"/>
      <c:layout>
        <c:manualLayout>
          <c:xMode val="edge"/>
          <c:yMode val="edge"/>
          <c:x val="0.72945234046499408"/>
          <c:y val="0.31794047892879179"/>
          <c:w val="0.26275612779447816"/>
          <c:h val="0.60337258546781092"/>
        </c:manualLayout>
      </c:layout>
      <c:overlay val="0"/>
      <c:txPr>
        <a:bodyPr/>
        <a:lstStyle/>
        <a:p>
          <a:pPr>
            <a:defRPr sz="1100"/>
          </a:pPr>
          <a:endParaRPr lang="nl-NL"/>
        </a:p>
      </c:txPr>
    </c:legend>
    <c:plotVisOnly val="1"/>
    <c:dispBlanksAs val="gap"/>
    <c:showDLblsOverMax val="0"/>
  </c:chart>
  <c:spPr>
    <a:ln w="12700">
      <a:solidFill>
        <a:schemeClr val="tx2">
          <a:lumMod val="40000"/>
          <a:lumOff val="60000"/>
        </a:schemeClr>
      </a:solidFill>
    </a:ln>
    <a:effectLst>
      <a:outerShdw blurRad="50800" dist="38100" dir="2700000" algn="tl" rotWithShape="0">
        <a:prstClr val="black">
          <a:alpha val="40000"/>
        </a:prstClr>
      </a:outerShdw>
    </a:effectLst>
  </c:sp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607091517394162"/>
          <c:y val="0.15019396534712481"/>
          <c:w val="0.56780192839421684"/>
          <c:h val="0.75901247065083433"/>
        </c:manualLayout>
      </c:layout>
      <c:pieChart>
        <c:varyColors val="1"/>
        <c:ser>
          <c:idx val="0"/>
          <c:order val="0"/>
          <c:explosion val="1"/>
          <c:dPt>
            <c:idx val="0"/>
            <c:bubble3D val="0"/>
            <c:spPr>
              <a:solidFill>
                <a:schemeClr val="accent4">
                  <a:lumMod val="75000"/>
                </a:schemeClr>
              </a:solidFill>
            </c:spPr>
            <c:extLst xmlns:c16r2="http://schemas.microsoft.com/office/drawing/2015/06/chart">
              <c:ext xmlns:c16="http://schemas.microsoft.com/office/drawing/2014/chart" uri="{C3380CC4-5D6E-409C-BE32-E72D297353CC}">
                <c16:uniqueId val="{00000001-FA2D-42E2-B2A1-0D38F41E54B6}"/>
              </c:ext>
            </c:extLst>
          </c:dPt>
          <c:dPt>
            <c:idx val="1"/>
            <c:bubble3D val="0"/>
            <c:spPr>
              <a:solidFill>
                <a:srgbClr val="C8D7EC"/>
              </a:solidFill>
            </c:spPr>
            <c:extLst xmlns:c16r2="http://schemas.microsoft.com/office/drawing/2015/06/chart">
              <c:ext xmlns:c16="http://schemas.microsoft.com/office/drawing/2014/chart" uri="{C3380CC4-5D6E-409C-BE32-E72D297353CC}">
                <c16:uniqueId val="{00000003-FA2D-42E2-B2A1-0D38F41E54B6}"/>
              </c:ext>
            </c:extLst>
          </c:dPt>
          <c:dPt>
            <c:idx val="2"/>
            <c:bubble3D val="0"/>
            <c:spPr>
              <a:solidFill>
                <a:srgbClr val="9AB7DA"/>
              </a:solidFill>
            </c:spPr>
            <c:extLst xmlns:c16r2="http://schemas.microsoft.com/office/drawing/2015/06/chart">
              <c:ext xmlns:c16="http://schemas.microsoft.com/office/drawing/2014/chart" uri="{C3380CC4-5D6E-409C-BE32-E72D297353CC}">
                <c16:uniqueId val="{00000005-FA2D-42E2-B2A1-0D38F41E54B6}"/>
              </c:ext>
            </c:extLst>
          </c:dPt>
          <c:dPt>
            <c:idx val="3"/>
            <c:bubble3D val="0"/>
            <c:spPr>
              <a:solidFill>
                <a:srgbClr val="FFFF00"/>
              </a:solidFill>
            </c:spPr>
            <c:extLst xmlns:c16r2="http://schemas.microsoft.com/office/drawing/2015/06/chart">
              <c:ext xmlns:c16="http://schemas.microsoft.com/office/drawing/2014/chart" uri="{C3380CC4-5D6E-409C-BE32-E72D297353CC}">
                <c16:uniqueId val="{00000007-FA2D-42E2-B2A1-0D38F41E54B6}"/>
              </c:ext>
            </c:extLst>
          </c:dPt>
          <c:dPt>
            <c:idx val="4"/>
            <c:bubble3D val="0"/>
            <c:spPr>
              <a:solidFill>
                <a:srgbClr val="FFCC00"/>
              </a:solidFill>
            </c:spPr>
            <c:extLst xmlns:c16r2="http://schemas.microsoft.com/office/drawing/2015/06/chart">
              <c:ext xmlns:c16="http://schemas.microsoft.com/office/drawing/2014/chart" uri="{C3380CC4-5D6E-409C-BE32-E72D297353CC}">
                <c16:uniqueId val="{00000009-FA2D-42E2-B2A1-0D38F41E54B6}"/>
              </c:ext>
            </c:extLst>
          </c:dPt>
          <c:dPt>
            <c:idx val="5"/>
            <c:bubble3D val="0"/>
            <c:spPr>
              <a:solidFill>
                <a:srgbClr val="FF9900"/>
              </a:solidFill>
            </c:spPr>
            <c:extLst xmlns:c16r2="http://schemas.microsoft.com/office/drawing/2015/06/chart">
              <c:ext xmlns:c16="http://schemas.microsoft.com/office/drawing/2014/chart" uri="{C3380CC4-5D6E-409C-BE32-E72D297353CC}">
                <c16:uniqueId val="{0000000B-FA2D-42E2-B2A1-0D38F41E54B6}"/>
              </c:ext>
            </c:extLst>
          </c:dPt>
          <c:dPt>
            <c:idx val="6"/>
            <c:bubble3D val="0"/>
            <c:spPr>
              <a:solidFill>
                <a:srgbClr val="E1AAA9"/>
              </a:solidFill>
            </c:spPr>
            <c:extLst xmlns:c16r2="http://schemas.microsoft.com/office/drawing/2015/06/chart">
              <c:ext xmlns:c16="http://schemas.microsoft.com/office/drawing/2014/chart" uri="{C3380CC4-5D6E-409C-BE32-E72D297353CC}">
                <c16:uniqueId val="{0000000D-FA2D-42E2-B2A1-0D38F41E54B6}"/>
              </c:ext>
            </c:extLst>
          </c:dPt>
          <c:dPt>
            <c:idx val="7"/>
            <c:bubble3D val="0"/>
            <c:spPr>
              <a:solidFill>
                <a:srgbClr val="CD7371"/>
              </a:solidFill>
            </c:spPr>
            <c:extLst xmlns:c16r2="http://schemas.microsoft.com/office/drawing/2015/06/chart">
              <c:ext xmlns:c16="http://schemas.microsoft.com/office/drawing/2014/chart" uri="{C3380CC4-5D6E-409C-BE32-E72D297353CC}">
                <c16:uniqueId val="{0000000F-FA2D-42E2-B2A1-0D38F41E54B6}"/>
              </c:ext>
            </c:extLst>
          </c:dPt>
          <c:dPt>
            <c:idx val="8"/>
            <c:bubble3D val="0"/>
            <c:spPr>
              <a:solidFill>
                <a:srgbClr val="CDE1AF"/>
              </a:solidFill>
            </c:spPr>
            <c:extLst xmlns:c16r2="http://schemas.microsoft.com/office/drawing/2015/06/chart">
              <c:ext xmlns:c16="http://schemas.microsoft.com/office/drawing/2014/chart" uri="{C3380CC4-5D6E-409C-BE32-E72D297353CC}">
                <c16:uniqueId val="{00000011-FA2D-42E2-B2A1-0D38F41E54B6}"/>
              </c:ext>
            </c:extLst>
          </c:dPt>
          <c:dPt>
            <c:idx val="9"/>
            <c:bubble3D val="0"/>
            <c:spPr>
              <a:solidFill>
                <a:srgbClr val="B4CD82"/>
              </a:solidFill>
            </c:spPr>
            <c:extLst xmlns:c16r2="http://schemas.microsoft.com/office/drawing/2015/06/chart">
              <c:ext xmlns:c16="http://schemas.microsoft.com/office/drawing/2014/chart" uri="{C3380CC4-5D6E-409C-BE32-E72D297353CC}">
                <c16:uniqueId val="{00000013-FA2D-42E2-B2A1-0D38F41E54B6}"/>
              </c:ext>
            </c:extLst>
          </c:dPt>
          <c:dPt>
            <c:idx val="10"/>
            <c:bubble3D val="0"/>
            <c:spPr>
              <a:solidFill>
                <a:srgbClr val="91B44A"/>
              </a:solidFill>
            </c:spPr>
            <c:extLst xmlns:c16r2="http://schemas.microsoft.com/office/drawing/2015/06/chart">
              <c:ext xmlns:c16="http://schemas.microsoft.com/office/drawing/2014/chart" uri="{C3380CC4-5D6E-409C-BE32-E72D297353CC}">
                <c16:uniqueId val="{00000015-FA2D-42E2-B2A1-0D38F41E54B6}"/>
              </c:ext>
            </c:extLst>
          </c:dPt>
          <c:dPt>
            <c:idx val="11"/>
            <c:bubble3D val="0"/>
            <c:spPr>
              <a:solidFill>
                <a:schemeClr val="accent3">
                  <a:lumMod val="75000"/>
                </a:schemeClr>
              </a:solidFill>
            </c:spPr>
            <c:extLst xmlns:c16r2="http://schemas.microsoft.com/office/drawing/2015/06/chart">
              <c:ext xmlns:c16="http://schemas.microsoft.com/office/drawing/2014/chart" uri="{C3380CC4-5D6E-409C-BE32-E72D297353CC}">
                <c16:uniqueId val="{00000017-FA2D-42E2-B2A1-0D38F41E54B6}"/>
              </c:ext>
            </c:extLst>
          </c:dPt>
          <c:dPt>
            <c:idx val="12"/>
            <c:bubble3D val="0"/>
            <c:spPr>
              <a:solidFill>
                <a:srgbClr val="B8AF82"/>
              </a:solidFill>
            </c:spPr>
            <c:extLst xmlns:c16r2="http://schemas.microsoft.com/office/drawing/2015/06/chart">
              <c:ext xmlns:c16="http://schemas.microsoft.com/office/drawing/2014/chart" uri="{C3380CC4-5D6E-409C-BE32-E72D297353CC}">
                <c16:uniqueId val="{00000019-FA2D-42E2-B2A1-0D38F41E54B6}"/>
              </c:ext>
            </c:extLst>
          </c:dPt>
          <c:dPt>
            <c:idx val="13"/>
            <c:bubble3D val="0"/>
            <c:spPr>
              <a:solidFill>
                <a:srgbClr val="887E4E"/>
              </a:solidFill>
            </c:spPr>
            <c:extLst xmlns:c16r2="http://schemas.microsoft.com/office/drawing/2015/06/chart">
              <c:ext xmlns:c16="http://schemas.microsoft.com/office/drawing/2014/chart" uri="{C3380CC4-5D6E-409C-BE32-E72D297353CC}">
                <c16:uniqueId val="{0000001B-FA2D-42E2-B2A1-0D38F41E54B6}"/>
              </c:ext>
            </c:extLst>
          </c:dPt>
          <c:dPt>
            <c:idx val="14"/>
            <c:bubble3D val="0"/>
            <c:spPr>
              <a:solidFill>
                <a:schemeClr val="accent4">
                  <a:lumMod val="40000"/>
                  <a:lumOff val="60000"/>
                </a:schemeClr>
              </a:solidFill>
            </c:spPr>
            <c:extLst xmlns:c16r2="http://schemas.microsoft.com/office/drawing/2015/06/chart">
              <c:ext xmlns:c16="http://schemas.microsoft.com/office/drawing/2014/chart" uri="{C3380CC4-5D6E-409C-BE32-E72D297353CC}">
                <c16:uniqueId val="{0000001D-FA2D-42E2-B2A1-0D38F41E54B6}"/>
              </c:ext>
            </c:extLst>
          </c:dPt>
          <c:dPt>
            <c:idx val="15"/>
            <c:bubble3D val="0"/>
            <c:spPr>
              <a:solidFill>
                <a:schemeClr val="accent4">
                  <a:lumMod val="60000"/>
                  <a:lumOff val="40000"/>
                </a:schemeClr>
              </a:solidFill>
            </c:spPr>
            <c:extLst xmlns:c16r2="http://schemas.microsoft.com/office/drawing/2015/06/chart">
              <c:ext xmlns:c16="http://schemas.microsoft.com/office/drawing/2014/chart" uri="{C3380CC4-5D6E-409C-BE32-E72D297353CC}">
                <c16:uniqueId val="{0000001F-FA2D-42E2-B2A1-0D38F41E54B6}"/>
              </c:ext>
            </c:extLst>
          </c:dPt>
          <c:dLbls>
            <c:dLbl>
              <c:idx val="0"/>
              <c:layout>
                <c:manualLayout>
                  <c:x val="5.230458643236597E-2"/>
                  <c:y val="5.5701156343942954E-3"/>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A2D-42E2-B2A1-0D38F41E54B6}"/>
                </c:ext>
              </c:extLst>
            </c:dLbl>
            <c:dLbl>
              <c:idx val="2"/>
              <c:layout>
                <c:manualLayout>
                  <c:x val="-0.14414661640728585"/>
                  <c:y val="9.6842008965698279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A2D-42E2-B2A1-0D38F41E54B6}"/>
                </c:ext>
              </c:extLst>
            </c:dLbl>
            <c:dLbl>
              <c:idx val="3"/>
              <c:layout>
                <c:manualLayout>
                  <c:x val="8.8000259932172351E-2"/>
                  <c:y val="-6.7338762212347816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A2D-42E2-B2A1-0D38F41E54B6}"/>
                </c:ext>
              </c:extLst>
            </c:dLbl>
            <c:dLbl>
              <c:idx val="4"/>
              <c:layout>
                <c:manualLayout>
                  <c:x val="8.080137389713779E-2"/>
                  <c:y val="-1.5389718854986134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A2D-42E2-B2A1-0D38F41E54B6}"/>
                </c:ext>
              </c:extLst>
            </c:dLbl>
            <c:dLbl>
              <c:idx val="5"/>
              <c:layout>
                <c:manualLayout>
                  <c:x val="8.3077635146015141E-2"/>
                  <c:y val="3.4662108523091886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A2D-42E2-B2A1-0D38F41E54B6}"/>
                </c:ext>
              </c:extLst>
            </c:dLbl>
            <c:dLbl>
              <c:idx val="6"/>
              <c:layout>
                <c:manualLayout>
                  <c:x val="8.3064869111798015E-2"/>
                  <c:y val="0.11598474021880124"/>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A2D-42E2-B2A1-0D38F41E54B6}"/>
                </c:ext>
              </c:extLst>
            </c:dLbl>
            <c:dLbl>
              <c:idx val="7"/>
              <c:layout>
                <c:manualLayout>
                  <c:x val="6.5629680270044469E-2"/>
                  <c:y val="0.1627294109604551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A2D-42E2-B2A1-0D38F41E54B6}"/>
                </c:ext>
              </c:extLst>
            </c:dLbl>
            <c:dLbl>
              <c:idx val="8"/>
              <c:layout>
                <c:manualLayout>
                  <c:x val="-0.14550528924491149"/>
                  <c:y val="-6.2863919045197059E-2"/>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FA2D-42E2-B2A1-0D38F41E54B6}"/>
                </c:ext>
              </c:extLst>
            </c:dLbl>
            <c:dLbl>
              <c:idx val="9"/>
              <c:layout>
                <c:manualLayout>
                  <c:x val="5.2710007914233852E-2"/>
                  <c:y val="5.2689204903632403E-3"/>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FA2D-42E2-B2A1-0D38F41E54B6}"/>
                </c:ext>
              </c:extLst>
            </c:dLbl>
            <c:dLbl>
              <c:idx val="10"/>
              <c:layout>
                <c:manualLayout>
                  <c:x val="1.5240753414675751E-3"/>
                  <c:y val="0"/>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FA2D-42E2-B2A1-0D38F41E54B6}"/>
                </c:ext>
              </c:extLst>
            </c:dLbl>
            <c:dLbl>
              <c:idx val="11"/>
              <c:layout>
                <c:manualLayout>
                  <c:x val="-4.438118861949418E-2"/>
                  <c:y val="-1.0115420999775841E-6"/>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FA2D-42E2-B2A1-0D38F41E54B6}"/>
                </c:ext>
              </c:extLst>
            </c:dLbl>
            <c:dLbl>
              <c:idx val="12"/>
              <c:layout>
                <c:manualLayout>
                  <c:x val="-7.8476740132014319E-2"/>
                  <c:y val="-5.4257095158597663E-3"/>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FA2D-42E2-B2A1-0D38F41E54B6}"/>
                </c:ext>
              </c:extLst>
            </c:dLbl>
            <c:dLbl>
              <c:idx val="13"/>
              <c:layout>
                <c:manualLayout>
                  <c:x val="-6.852374343152208E-2"/>
                  <c:y val="-0.23780999592983448"/>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FA2D-42E2-B2A1-0D38F41E54B6}"/>
                </c:ext>
              </c:extLst>
            </c:dLbl>
            <c:dLbl>
              <c:idx val="14"/>
              <c:layout>
                <c:manualLayout>
                  <c:x val="0.18067430364475381"/>
                  <c:y val="0.11536917817539773"/>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FA2D-42E2-B2A1-0D38F41E54B6}"/>
                </c:ext>
              </c:extLst>
            </c:dLbl>
            <c:dLbl>
              <c:idx val="15"/>
              <c:layout>
                <c:manualLayout>
                  <c:x val="-9.6243004138227048E-2"/>
                  <c:y val="0"/>
                </c:manualLayout>
              </c:layout>
              <c:dLblPos val="bestFit"/>
              <c:showLegendKey val="0"/>
              <c:showVal val="0"/>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FA2D-42E2-B2A1-0D38F41E54B6}"/>
                </c:ext>
              </c:extLst>
            </c:dLbl>
            <c:numFmt formatCode="0.0%" sourceLinked="0"/>
            <c:spPr>
              <a:noFill/>
              <a:ln>
                <a:noFill/>
              </a:ln>
              <a:effectLst/>
            </c:spPr>
            <c:txPr>
              <a:bodyPr/>
              <a:lstStyle/>
              <a:p>
                <a:pPr>
                  <a:defRPr sz="1050"/>
                </a:pPr>
                <a:endParaRPr lang="nl-NL"/>
              </a:p>
            </c:txPr>
            <c:dLblPos val="bestFit"/>
            <c:showLegendKey val="0"/>
            <c:showVal val="0"/>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Resultaatgrafiek!$A$50:$A$65</c:f>
              <c:strCache>
                <c:ptCount val="16"/>
                <c:pt idx="0">
                  <c:v>Waterkracht</c:v>
                </c:pt>
                <c:pt idx="1">
                  <c:v>Wind op Land</c:v>
                </c:pt>
                <c:pt idx="2">
                  <c:v>Wind op Zee</c:v>
                </c:pt>
                <c:pt idx="3">
                  <c:v>Zon PV (groot)</c:v>
                </c:pt>
                <c:pt idx="4">
                  <c:v>Zon PV (klein)</c:v>
                </c:pt>
                <c:pt idx="5">
                  <c:v>Zon thermisch</c:v>
                </c:pt>
                <c:pt idx="6">
                  <c:v>Geothermie</c:v>
                </c:pt>
                <c:pt idx="7">
                  <c:v>WKO + warmtepompen</c:v>
                </c:pt>
                <c:pt idx="8">
                  <c:v>Biomassa - tbv elektriciteit</c:v>
                </c:pt>
                <c:pt idx="9">
                  <c:v>Biomassa - tbv warmte</c:v>
                </c:pt>
                <c:pt idx="10">
                  <c:v>Houtkachels bij particulieren</c:v>
                </c:pt>
                <c:pt idx="11">
                  <c:v>Biobrandstof bijmengen - tbv vervoer</c:v>
                </c:pt>
                <c:pt idx="12">
                  <c:v>Schone voertuigen (inc fiscale maatregelen zuinige auto's algemeen tm 2014)</c:v>
                </c:pt>
                <c:pt idx="13">
                  <c:v>Energienetwerk uitbreiden (incl. stopcontact op zee, energieopslag, netverzwaring, vervroegd afschrijven fossiele centrales)</c:v>
                </c:pt>
                <c:pt idx="14">
                  <c:v>Energiebesparing</c:v>
                </c:pt>
                <c:pt idx="15">
                  <c:v>Overig i.e. CCS, emissiehandel en innovatie</c:v>
                </c:pt>
              </c:strCache>
            </c:strRef>
          </c:cat>
          <c:val>
            <c:numRef>
              <c:f>Resultaatgrafiek!$G$50:$G$65</c:f>
              <c:numCache>
                <c:formatCode>_ * #,##0.0_ ;_ * \-#,##0.0_ ;_ * "-"??_ ;_ @_ </c:formatCode>
                <c:ptCount val="16"/>
                <c:pt idx="0">
                  <c:v>0.39400000000000002</c:v>
                </c:pt>
                <c:pt idx="1">
                  <c:v>52.580304700000013</c:v>
                </c:pt>
                <c:pt idx="2">
                  <c:v>61.2422568</c:v>
                </c:pt>
                <c:pt idx="3">
                  <c:v>1.2526245</c:v>
                </c:pt>
                <c:pt idx="4">
                  <c:v>9.5039999999999996</c:v>
                </c:pt>
                <c:pt idx="5">
                  <c:v>1.6500000000000001</c:v>
                </c:pt>
                <c:pt idx="6">
                  <c:v>6.5</c:v>
                </c:pt>
                <c:pt idx="7">
                  <c:v>14.1</c:v>
                </c:pt>
                <c:pt idx="8">
                  <c:v>39.1</c:v>
                </c:pt>
                <c:pt idx="9">
                  <c:v>50</c:v>
                </c:pt>
                <c:pt idx="10">
                  <c:v>18.8</c:v>
                </c:pt>
                <c:pt idx="11">
                  <c:v>34.5</c:v>
                </c:pt>
                <c:pt idx="12">
                  <c:v>35</c:v>
                </c:pt>
                <c:pt idx="13" formatCode="_ * #,##0_ ;_ * \-#,##0_ ;_ * &quot;-&quot;??_ ;_ @_ ">
                  <c:v>0</c:v>
                </c:pt>
                <c:pt idx="14">
                  <c:v>195</c:v>
                </c:pt>
                <c:pt idx="15">
                  <c:v>0</c:v>
                </c:pt>
              </c:numCache>
            </c:numRef>
          </c:val>
          <c:extLst xmlns:c16r2="http://schemas.microsoft.com/office/drawing/2015/06/chart">
            <c:ext xmlns:c16="http://schemas.microsoft.com/office/drawing/2014/chart" uri="{C3380CC4-5D6E-409C-BE32-E72D297353CC}">
              <c16:uniqueId val="{00000020-FA2D-42E2-B2A1-0D38F41E54B6}"/>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w="12700">
      <a:solidFill>
        <a:schemeClr val="tx2">
          <a:lumMod val="40000"/>
          <a:lumOff val="60000"/>
        </a:schemeClr>
      </a:solidFill>
    </a:ln>
    <a:effectLst>
      <a:outerShdw blurRad="50800" dist="38100" dir="2700000" algn="tl" rotWithShape="0">
        <a:prstClr val="black">
          <a:alpha val="40000"/>
        </a:prstClr>
      </a:outerShdw>
    </a:effectLst>
    <a:scene3d>
      <a:camera prst="orthographicFront"/>
      <a:lightRig rig="threePt" dir="t"/>
    </a:scene3d>
    <a:sp3d/>
  </c:spPr>
  <c:txPr>
    <a:bodyPr/>
    <a:lstStyle/>
    <a:p>
      <a:pPr>
        <a:defRPr sz="1100"/>
      </a:pPr>
      <a:endParaRPr lang="nl-NL"/>
    </a:p>
  </c:txPr>
  <c:printSettings>
    <c:headerFooter/>
    <c:pageMargins b="0.75" l="0.7" r="0.7" t="0.75"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2000" b="1" i="0" u="none" strike="noStrike" kern="1200" baseline="0">
                <a:solidFill>
                  <a:schemeClr val="accent3">
                    <a:lumMod val="75000"/>
                  </a:schemeClr>
                </a:solidFill>
                <a:latin typeface="Arial" panose="020B0604020202020204" pitchFamily="34" charset="0"/>
                <a:ea typeface="+mn-ea"/>
                <a:cs typeface="Arial" panose="020B0604020202020204" pitchFamily="34" charset="0"/>
              </a:defRPr>
            </a:pPr>
            <a:r>
              <a:rPr lang="en-US" sz="2000" b="1" i="0" u="none" strike="noStrike" kern="1200" baseline="0">
                <a:solidFill>
                  <a:schemeClr val="accent3">
                    <a:lumMod val="75000"/>
                  </a:schemeClr>
                </a:solidFill>
                <a:latin typeface="Arial" panose="020B0604020202020204" pitchFamily="34" charset="0"/>
                <a:ea typeface="+mn-ea"/>
                <a:cs typeface="Arial" panose="020B0604020202020204" pitchFamily="34" charset="0"/>
              </a:rPr>
              <a:t>Uitgaven met toenemend % hernieuwbare energie na 2020</a:t>
            </a:r>
          </a:p>
        </c:rich>
      </c:tx>
      <c:layout>
        <c:manualLayout>
          <c:xMode val="edge"/>
          <c:yMode val="edge"/>
          <c:x val="4.3978581961142328E-2"/>
          <c:y val="1.8639555297836612E-2"/>
        </c:manualLayout>
      </c:layout>
      <c:overlay val="1"/>
    </c:title>
    <c:autoTitleDeleted val="0"/>
    <c:plotArea>
      <c:layout>
        <c:manualLayout>
          <c:layoutTarget val="inner"/>
          <c:xMode val="edge"/>
          <c:yMode val="edge"/>
          <c:x val="8.5104179317491452E-2"/>
          <c:y val="0.14980985518786724"/>
          <c:w val="0.64604606181770885"/>
          <c:h val="0.76961402911399801"/>
        </c:manualLayout>
      </c:layout>
      <c:barChart>
        <c:barDir val="col"/>
        <c:grouping val="stacked"/>
        <c:varyColors val="0"/>
        <c:ser>
          <c:idx val="2"/>
          <c:order val="0"/>
          <c:tx>
            <c:strRef>
              <c:f>Resultaatgrafiek!$G$122</c:f>
              <c:strCache>
                <c:ptCount val="1"/>
                <c:pt idx="0">
                  <c:v>Wind op Land</c:v>
                </c:pt>
              </c:strCache>
            </c:strRef>
          </c:tx>
          <c:spPr>
            <a:solidFill>
              <a:schemeClr val="tx2">
                <a:lumMod val="20000"/>
                <a:lumOff val="80000"/>
              </a:schemeClr>
            </a:solidFill>
          </c:spPr>
          <c:invertIfNegative val="0"/>
          <c:cat>
            <c:numRef>
              <c:f>Resultaatgrafiek!$I$247:$I$282</c:f>
              <c:numCache>
                <c:formatCode>0_ ;\-0\ </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Resultaatgrafiek!$G$136:$G$158</c:f>
              <c:numCache>
                <c:formatCode>_ * #,##0_ ;_ * \-#,##0_ ;_ * "-"??_ ;_ @_ </c:formatCode>
                <c:ptCount val="23"/>
                <c:pt idx="0">
                  <c:v>287.49592996774197</c:v>
                </c:pt>
                <c:pt idx="1">
                  <c:v>463.62221383870974</c:v>
                </c:pt>
                <c:pt idx="2">
                  <c:v>509.72949816129034</c:v>
                </c:pt>
                <c:pt idx="3">
                  <c:v>554.1919096774194</c:v>
                </c:pt>
                <c:pt idx="4">
                  <c:v>622.70650967741938</c:v>
                </c:pt>
                <c:pt idx="5">
                  <c:v>680.78575483870975</c:v>
                </c:pt>
                <c:pt idx="6">
                  <c:v>639.04433548387101</c:v>
                </c:pt>
                <c:pt idx="7">
                  <c:v>639.04433548387101</c:v>
                </c:pt>
                <c:pt idx="8">
                  <c:v>632.52223870967748</c:v>
                </c:pt>
                <c:pt idx="9">
                  <c:v>626.00014193548395</c:v>
                </c:pt>
                <c:pt idx="10">
                  <c:v>619.47804516129042</c:v>
                </c:pt>
                <c:pt idx="11">
                  <c:v>612.9559483870969</c:v>
                </c:pt>
                <c:pt idx="12">
                  <c:v>606.43385161290337</c:v>
                </c:pt>
                <c:pt idx="13">
                  <c:v>558.02375483870969</c:v>
                </c:pt>
                <c:pt idx="14">
                  <c:v>522.57476129032261</c:v>
                </c:pt>
                <c:pt idx="15">
                  <c:v>429.31397419354846</c:v>
                </c:pt>
                <c:pt idx="16">
                  <c:v>298.58148387096782</c:v>
                </c:pt>
                <c:pt idx="17">
                  <c:v>205.54380000000003</c:v>
                </c:pt>
                <c:pt idx="18">
                  <c:v>137.02920000000003</c:v>
                </c:pt>
                <c:pt idx="19">
                  <c:v>68.514600000000016</c:v>
                </c:pt>
                <c:pt idx="20">
                  <c:v>0</c:v>
                </c:pt>
                <c:pt idx="21">
                  <c:v>0</c:v>
                </c:pt>
                <c:pt idx="22">
                  <c:v>0</c:v>
                </c:pt>
              </c:numCache>
            </c:numRef>
          </c:val>
          <c:extLst xmlns:c16r2="http://schemas.microsoft.com/office/drawing/2015/06/chart">
            <c:ext xmlns:c16="http://schemas.microsoft.com/office/drawing/2014/chart" uri="{C3380CC4-5D6E-409C-BE32-E72D297353CC}">
              <c16:uniqueId val="{00000000-1FBD-4780-9F3C-F2BDFA6547A6}"/>
            </c:ext>
          </c:extLst>
        </c:ser>
        <c:ser>
          <c:idx val="4"/>
          <c:order val="1"/>
          <c:tx>
            <c:strRef>
              <c:f>Resultaatgrafiek!$H$122</c:f>
              <c:strCache>
                <c:ptCount val="1"/>
                <c:pt idx="0">
                  <c:v>Wind op Zee</c:v>
                </c:pt>
              </c:strCache>
            </c:strRef>
          </c:tx>
          <c:spPr>
            <a:solidFill>
              <a:schemeClr val="accent1">
                <a:lumMod val="60000"/>
                <a:lumOff val="40000"/>
              </a:schemeClr>
            </a:solidFill>
          </c:spPr>
          <c:invertIfNegative val="0"/>
          <c:cat>
            <c:numRef>
              <c:f>Resultaatgrafiek!$I$247:$I$282</c:f>
              <c:numCache>
                <c:formatCode>0_ ;\-0\ </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Resultaatgrafiek!$H$136:$H$158</c:f>
              <c:numCache>
                <c:formatCode>_ * #,##0_ ;_ * \-#,##0_ ;_ * "-"??_ ;_ @_ </c:formatCode>
                <c:ptCount val="23"/>
                <c:pt idx="0">
                  <c:v>76.773978854838703</c:v>
                </c:pt>
                <c:pt idx="1">
                  <c:v>90.879656274193536</c:v>
                </c:pt>
                <c:pt idx="2">
                  <c:v>416.49273972580653</c:v>
                </c:pt>
                <c:pt idx="3">
                  <c:v>411.84819354838714</c:v>
                </c:pt>
                <c:pt idx="4">
                  <c:v>411.84819354838714</c:v>
                </c:pt>
                <c:pt idx="5">
                  <c:v>602.14209677419353</c:v>
                </c:pt>
                <c:pt idx="6">
                  <c:v>654.4849096774193</c:v>
                </c:pt>
                <c:pt idx="7">
                  <c:v>714.88810967741938</c:v>
                </c:pt>
                <c:pt idx="8">
                  <c:v>774.03187419354845</c:v>
                </c:pt>
                <c:pt idx="9">
                  <c:v>772.77243870967743</c:v>
                </c:pt>
                <c:pt idx="10">
                  <c:v>771.51300322580653</c:v>
                </c:pt>
                <c:pt idx="11">
                  <c:v>770.25356774193551</c:v>
                </c:pt>
                <c:pt idx="12">
                  <c:v>768.99413225806461</c:v>
                </c:pt>
                <c:pt idx="13">
                  <c:v>767.73469677419359</c:v>
                </c:pt>
                <c:pt idx="14">
                  <c:v>765.21582580645168</c:v>
                </c:pt>
                <c:pt idx="15">
                  <c:v>713.53408387096783</c:v>
                </c:pt>
                <c:pt idx="16">
                  <c:v>708.19407741935493</c:v>
                </c:pt>
                <c:pt idx="17">
                  <c:v>373.51859999999999</c:v>
                </c:pt>
                <c:pt idx="18">
                  <c:v>373.51859999999999</c:v>
                </c:pt>
                <c:pt idx="19">
                  <c:v>373.51859999999999</c:v>
                </c:pt>
                <c:pt idx="20">
                  <c:v>181.20959999999999</c:v>
                </c:pt>
                <c:pt idx="21">
                  <c:v>120.80640000000001</c:v>
                </c:pt>
                <c:pt idx="22">
                  <c:v>60.403200000000005</c:v>
                </c:pt>
              </c:numCache>
            </c:numRef>
          </c:val>
          <c:extLst xmlns:c16r2="http://schemas.microsoft.com/office/drawing/2015/06/chart">
            <c:ext xmlns:c16="http://schemas.microsoft.com/office/drawing/2014/chart" uri="{C3380CC4-5D6E-409C-BE32-E72D297353CC}">
              <c16:uniqueId val="{00000001-1FBD-4780-9F3C-F2BDFA6547A6}"/>
            </c:ext>
          </c:extLst>
        </c:ser>
        <c:ser>
          <c:idx val="6"/>
          <c:order val="2"/>
          <c:tx>
            <c:strRef>
              <c:f>Resultaatgrafiek!$I$122</c:f>
              <c:strCache>
                <c:ptCount val="1"/>
                <c:pt idx="0">
                  <c:v>Zon-PV - groot</c:v>
                </c:pt>
              </c:strCache>
            </c:strRef>
          </c:tx>
          <c:spPr>
            <a:solidFill>
              <a:srgbClr val="FFFF00"/>
            </a:solidFill>
          </c:spPr>
          <c:invertIfNegative val="0"/>
          <c:cat>
            <c:numRef>
              <c:f>Resultaatgrafiek!$I$247:$I$282</c:f>
              <c:numCache>
                <c:formatCode>0_ ;\-0\ </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Resultaatgrafiek!$I$136:$I$158</c:f>
              <c:numCache>
                <c:formatCode>_ * #,##0_ ;_ * \-#,##0_ ;_ * "-"??_ ;_ @_ </c:formatCode>
                <c:ptCount val="23"/>
                <c:pt idx="0">
                  <c:v>21.862290645161288</c:v>
                </c:pt>
                <c:pt idx="1">
                  <c:v>31.12261322580645</c:v>
                </c:pt>
                <c:pt idx="2">
                  <c:v>34.410666774193551</c:v>
                </c:pt>
                <c:pt idx="3">
                  <c:v>37.595806451612901</c:v>
                </c:pt>
                <c:pt idx="4">
                  <c:v>42.285806451612899</c:v>
                </c:pt>
                <c:pt idx="5">
                  <c:v>46.322903225806449</c:v>
                </c:pt>
                <c:pt idx="6">
                  <c:v>43.711290322580645</c:v>
                </c:pt>
                <c:pt idx="7">
                  <c:v>43.711290322580645</c:v>
                </c:pt>
                <c:pt idx="8">
                  <c:v>43.303225806451607</c:v>
                </c:pt>
                <c:pt idx="9">
                  <c:v>42.895161290322577</c:v>
                </c:pt>
                <c:pt idx="10">
                  <c:v>42.487096774193546</c:v>
                </c:pt>
                <c:pt idx="11">
                  <c:v>42.079032258064515</c:v>
                </c:pt>
                <c:pt idx="12">
                  <c:v>41.670967741935485</c:v>
                </c:pt>
                <c:pt idx="13">
                  <c:v>39.862903225806448</c:v>
                </c:pt>
                <c:pt idx="14">
                  <c:v>36.546774193548387</c:v>
                </c:pt>
                <c:pt idx="15">
                  <c:v>26.714516129032258</c:v>
                </c:pt>
                <c:pt idx="16">
                  <c:v>20.294322580645161</c:v>
                </c:pt>
                <c:pt idx="17">
                  <c:v>14.07</c:v>
                </c:pt>
                <c:pt idx="18">
                  <c:v>9.3800000000000008</c:v>
                </c:pt>
                <c:pt idx="19">
                  <c:v>4.6900000000000004</c:v>
                </c:pt>
                <c:pt idx="20">
                  <c:v>0</c:v>
                </c:pt>
                <c:pt idx="21">
                  <c:v>0</c:v>
                </c:pt>
                <c:pt idx="22">
                  <c:v>0</c:v>
                </c:pt>
              </c:numCache>
            </c:numRef>
          </c:val>
          <c:extLst xmlns:c16r2="http://schemas.microsoft.com/office/drawing/2015/06/chart">
            <c:ext xmlns:c16="http://schemas.microsoft.com/office/drawing/2014/chart" uri="{C3380CC4-5D6E-409C-BE32-E72D297353CC}">
              <c16:uniqueId val="{00000002-1FBD-4780-9F3C-F2BDFA6547A6}"/>
            </c:ext>
          </c:extLst>
        </c:ser>
        <c:ser>
          <c:idx val="7"/>
          <c:order val="3"/>
          <c:tx>
            <c:strRef>
              <c:f>Resultaatgrafiek!$J$122</c:f>
              <c:strCache>
                <c:ptCount val="1"/>
                <c:pt idx="0">
                  <c:v>Zon-PV - klein</c:v>
                </c:pt>
              </c:strCache>
            </c:strRef>
          </c:tx>
          <c:spPr>
            <a:solidFill>
              <a:srgbClr val="FFC000"/>
            </a:solidFill>
          </c:spPr>
          <c:invertIfNegative val="0"/>
          <c:cat>
            <c:numRef>
              <c:f>Resultaatgrafiek!$I$247:$I$282</c:f>
              <c:numCache>
                <c:formatCode>0_ ;\-0\ </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Resultaatgrafiek!$J$136:$J$158</c:f>
              <c:numCache>
                <c:formatCode>_ * #,##0_ ;_ * \-#,##0_ ;_ * "-"??_ ;_ @_ </c:formatCode>
                <c:ptCount val="23"/>
                <c:pt idx="0">
                  <c:v>168.3103683168317</c:v>
                </c:pt>
                <c:pt idx="1">
                  <c:v>199.21286653465347</c:v>
                </c:pt>
                <c:pt idx="2">
                  <c:v>249.86251247524751</c:v>
                </c:pt>
                <c:pt idx="3">
                  <c:v>297.14376237623759</c:v>
                </c:pt>
                <c:pt idx="4">
                  <c:v>346.57188118811882</c:v>
                </c:pt>
                <c:pt idx="5">
                  <c:v>395.99999999999989</c:v>
                </c:pt>
                <c:pt idx="6">
                  <c:v>395.99999999999989</c:v>
                </c:pt>
                <c:pt idx="7">
                  <c:v>395.99999999999989</c:v>
                </c:pt>
                <c:pt idx="8">
                  <c:v>395.99999999999989</c:v>
                </c:pt>
                <c:pt idx="9">
                  <c:v>395.99999999999989</c:v>
                </c:pt>
                <c:pt idx="10">
                  <c:v>395.99999999999989</c:v>
                </c:pt>
                <c:pt idx="11">
                  <c:v>395.99999999999989</c:v>
                </c:pt>
                <c:pt idx="12">
                  <c:v>395.99999999999989</c:v>
                </c:pt>
                <c:pt idx="13">
                  <c:v>395.99999999999989</c:v>
                </c:pt>
                <c:pt idx="14">
                  <c:v>395.99999999999989</c:v>
                </c:pt>
                <c:pt idx="15">
                  <c:v>395.99999999999989</c:v>
                </c:pt>
                <c:pt idx="16">
                  <c:v>395.99999999999989</c:v>
                </c:pt>
                <c:pt idx="17">
                  <c:v>395.99999999999989</c:v>
                </c:pt>
                <c:pt idx="18">
                  <c:v>395.99999999999989</c:v>
                </c:pt>
                <c:pt idx="19">
                  <c:v>395.99999999999989</c:v>
                </c:pt>
                <c:pt idx="20">
                  <c:v>395.99999999999989</c:v>
                </c:pt>
                <c:pt idx="21">
                  <c:v>0</c:v>
                </c:pt>
                <c:pt idx="22">
                  <c:v>0</c:v>
                </c:pt>
              </c:numCache>
            </c:numRef>
          </c:val>
          <c:extLst xmlns:c16r2="http://schemas.microsoft.com/office/drawing/2015/06/chart">
            <c:ext xmlns:c16="http://schemas.microsoft.com/office/drawing/2014/chart" uri="{C3380CC4-5D6E-409C-BE32-E72D297353CC}">
              <c16:uniqueId val="{00000003-1FBD-4780-9F3C-F2BDFA6547A6}"/>
            </c:ext>
          </c:extLst>
        </c:ser>
        <c:ser>
          <c:idx val="8"/>
          <c:order val="4"/>
          <c:tx>
            <c:strRef>
              <c:f>Resultaatgrafiek!$K$122</c:f>
              <c:strCache>
                <c:ptCount val="1"/>
                <c:pt idx="0">
                  <c:v>Zon-thermisch</c:v>
                </c:pt>
              </c:strCache>
            </c:strRef>
          </c:tx>
          <c:spPr>
            <a:solidFill>
              <a:schemeClr val="accent6"/>
            </a:solidFill>
          </c:spPr>
          <c:invertIfNegative val="0"/>
          <c:cat>
            <c:numRef>
              <c:f>Resultaatgrafiek!$I$247:$I$282</c:f>
              <c:numCache>
                <c:formatCode>0_ ;\-0\ </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Resultaatgrafiek!$K$136:$K$158</c:f>
              <c:numCache>
                <c:formatCode>_ * #,##0_ ;_ * \-#,##0_ ;_ * "-"??_ ;_ @_ </c:formatCode>
                <c:ptCount val="23"/>
                <c:pt idx="0">
                  <c:v>2.8809523809523809</c:v>
                </c:pt>
                <c:pt idx="1">
                  <c:v>4.3214285714285721</c:v>
                </c:pt>
                <c:pt idx="2">
                  <c:v>5.7619047619047619</c:v>
                </c:pt>
                <c:pt idx="3">
                  <c:v>7.2023809523809526</c:v>
                </c:pt>
                <c:pt idx="4">
                  <c:v>8.6428571428571441</c:v>
                </c:pt>
                <c:pt idx="5">
                  <c:v>10.083333333333334</c:v>
                </c:pt>
                <c:pt idx="6">
                  <c:v>10.083333333333334</c:v>
                </c:pt>
                <c:pt idx="7">
                  <c:v>10.083333333333334</c:v>
                </c:pt>
                <c:pt idx="8">
                  <c:v>10.083333333333334</c:v>
                </c:pt>
                <c:pt idx="9">
                  <c:v>10.083333333333334</c:v>
                </c:pt>
                <c:pt idx="10">
                  <c:v>10.083333333333334</c:v>
                </c:pt>
                <c:pt idx="11">
                  <c:v>10.083333333333334</c:v>
                </c:pt>
                <c:pt idx="12">
                  <c:v>10.083333333333334</c:v>
                </c:pt>
                <c:pt idx="13">
                  <c:v>10.083333333333334</c:v>
                </c:pt>
                <c:pt idx="14">
                  <c:v>8.6428571428571441</c:v>
                </c:pt>
                <c:pt idx="15">
                  <c:v>7.2023809523809526</c:v>
                </c:pt>
                <c:pt idx="16">
                  <c:v>5.7619047619047619</c:v>
                </c:pt>
                <c:pt idx="17">
                  <c:v>4.3214285714285721</c:v>
                </c:pt>
                <c:pt idx="18">
                  <c:v>2.8809523809523814</c:v>
                </c:pt>
                <c:pt idx="19">
                  <c:v>1.4404761904761909</c:v>
                </c:pt>
                <c:pt idx="20">
                  <c:v>0</c:v>
                </c:pt>
                <c:pt idx="21">
                  <c:v>0</c:v>
                </c:pt>
                <c:pt idx="22">
                  <c:v>0</c:v>
                </c:pt>
              </c:numCache>
            </c:numRef>
          </c:val>
          <c:extLst xmlns:c16r2="http://schemas.microsoft.com/office/drawing/2015/06/chart">
            <c:ext xmlns:c16="http://schemas.microsoft.com/office/drawing/2014/chart" uri="{C3380CC4-5D6E-409C-BE32-E72D297353CC}">
              <c16:uniqueId val="{00000004-1FBD-4780-9F3C-F2BDFA6547A6}"/>
            </c:ext>
          </c:extLst>
        </c:ser>
        <c:ser>
          <c:idx val="9"/>
          <c:order val="5"/>
          <c:tx>
            <c:strRef>
              <c:f>Resultaatgrafiek!$L$122</c:f>
              <c:strCache>
                <c:ptCount val="1"/>
                <c:pt idx="0">
                  <c:v>Geothermie</c:v>
                </c:pt>
              </c:strCache>
            </c:strRef>
          </c:tx>
          <c:spPr>
            <a:solidFill>
              <a:schemeClr val="accent2">
                <a:lumMod val="40000"/>
                <a:lumOff val="60000"/>
              </a:schemeClr>
            </a:solidFill>
          </c:spPr>
          <c:invertIfNegative val="0"/>
          <c:cat>
            <c:numRef>
              <c:f>Resultaatgrafiek!$I$247:$I$282</c:f>
              <c:numCache>
                <c:formatCode>0_ ;\-0\ </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Resultaatgrafiek!$L$136:$L$158</c:f>
              <c:numCache>
                <c:formatCode>_ * #,##0_ ;_ * \-#,##0_ ;_ * "-"??_ ;_ @_ </c:formatCode>
                <c:ptCount val="23"/>
                <c:pt idx="0">
                  <c:v>19.642857142857139</c:v>
                </c:pt>
                <c:pt idx="1">
                  <c:v>29.464285714285708</c:v>
                </c:pt>
                <c:pt idx="2">
                  <c:v>39.285714285714278</c:v>
                </c:pt>
                <c:pt idx="3">
                  <c:v>49.107142857142854</c:v>
                </c:pt>
                <c:pt idx="4">
                  <c:v>58.928571428571416</c:v>
                </c:pt>
                <c:pt idx="5">
                  <c:v>68.749999999999986</c:v>
                </c:pt>
                <c:pt idx="6">
                  <c:v>68.749999999999986</c:v>
                </c:pt>
                <c:pt idx="7">
                  <c:v>68.749999999999986</c:v>
                </c:pt>
                <c:pt idx="8">
                  <c:v>68.749999999999986</c:v>
                </c:pt>
                <c:pt idx="9">
                  <c:v>68.749999999999986</c:v>
                </c:pt>
                <c:pt idx="10">
                  <c:v>68.749999999999986</c:v>
                </c:pt>
                <c:pt idx="11">
                  <c:v>68.749999999999986</c:v>
                </c:pt>
                <c:pt idx="12">
                  <c:v>68.749999999999986</c:v>
                </c:pt>
                <c:pt idx="13">
                  <c:v>68.749999999999986</c:v>
                </c:pt>
                <c:pt idx="14">
                  <c:v>58.928571428571416</c:v>
                </c:pt>
                <c:pt idx="15">
                  <c:v>49.107142857142854</c:v>
                </c:pt>
                <c:pt idx="16">
                  <c:v>39.285714285714285</c:v>
                </c:pt>
                <c:pt idx="17">
                  <c:v>29.464285714285715</c:v>
                </c:pt>
                <c:pt idx="18">
                  <c:v>19.642857142857149</c:v>
                </c:pt>
                <c:pt idx="19">
                  <c:v>9.8214285714285783</c:v>
                </c:pt>
                <c:pt idx="20">
                  <c:v>0</c:v>
                </c:pt>
                <c:pt idx="21">
                  <c:v>0</c:v>
                </c:pt>
                <c:pt idx="22">
                  <c:v>0</c:v>
                </c:pt>
              </c:numCache>
            </c:numRef>
          </c:val>
          <c:extLst xmlns:c16r2="http://schemas.microsoft.com/office/drawing/2015/06/chart">
            <c:ext xmlns:c16="http://schemas.microsoft.com/office/drawing/2014/chart" uri="{C3380CC4-5D6E-409C-BE32-E72D297353CC}">
              <c16:uniqueId val="{00000005-1FBD-4780-9F3C-F2BDFA6547A6}"/>
            </c:ext>
          </c:extLst>
        </c:ser>
        <c:ser>
          <c:idx val="10"/>
          <c:order val="6"/>
          <c:tx>
            <c:strRef>
              <c:f>Resultaatgrafiek!$M$122</c:f>
              <c:strCache>
                <c:ptCount val="1"/>
                <c:pt idx="0">
                  <c:v>WKO + warmtepompen</c:v>
                </c:pt>
              </c:strCache>
            </c:strRef>
          </c:tx>
          <c:spPr>
            <a:solidFill>
              <a:schemeClr val="accent2"/>
            </a:solidFill>
          </c:spPr>
          <c:invertIfNegative val="0"/>
          <c:cat>
            <c:numRef>
              <c:f>Resultaatgrafiek!$I$247:$I$282</c:f>
              <c:numCache>
                <c:formatCode>0_ ;\-0\ </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Resultaatgrafiek!$M$136:$M$158</c:f>
              <c:numCache>
                <c:formatCode>_ * #,##0_ ;_ * \-#,##0_ ;_ * "-"??_ ;_ @_ </c:formatCode>
                <c:ptCount val="23"/>
                <c:pt idx="0">
                  <c:v>6.3492063492063489</c:v>
                </c:pt>
                <c:pt idx="1">
                  <c:v>9.5238095238095237</c:v>
                </c:pt>
                <c:pt idx="2">
                  <c:v>12.698412698412698</c:v>
                </c:pt>
                <c:pt idx="3">
                  <c:v>15.873015873015872</c:v>
                </c:pt>
                <c:pt idx="4">
                  <c:v>19.047619047619044</c:v>
                </c:pt>
                <c:pt idx="5">
                  <c:v>22.222222222222225</c:v>
                </c:pt>
                <c:pt idx="6">
                  <c:v>22.222222222222225</c:v>
                </c:pt>
                <c:pt idx="7">
                  <c:v>22.222222222222225</c:v>
                </c:pt>
                <c:pt idx="8">
                  <c:v>22.222222222222225</c:v>
                </c:pt>
                <c:pt idx="9">
                  <c:v>22.222222222222225</c:v>
                </c:pt>
                <c:pt idx="10">
                  <c:v>22.222222222222225</c:v>
                </c:pt>
                <c:pt idx="11">
                  <c:v>22.222222222222225</c:v>
                </c:pt>
                <c:pt idx="12">
                  <c:v>22.222222222222225</c:v>
                </c:pt>
                <c:pt idx="13">
                  <c:v>22.222222222222225</c:v>
                </c:pt>
                <c:pt idx="14">
                  <c:v>19.047619047619051</c:v>
                </c:pt>
                <c:pt idx="15">
                  <c:v>15.873015873015877</c:v>
                </c:pt>
                <c:pt idx="16">
                  <c:v>12.698412698412703</c:v>
                </c:pt>
                <c:pt idx="17">
                  <c:v>9.5238095238095291</c:v>
                </c:pt>
                <c:pt idx="18">
                  <c:v>6.3492063492063542</c:v>
                </c:pt>
                <c:pt idx="19">
                  <c:v>3.1746031746031798</c:v>
                </c:pt>
                <c:pt idx="20">
                  <c:v>4.9343245538895852E-15</c:v>
                </c:pt>
                <c:pt idx="21">
                  <c:v>0</c:v>
                </c:pt>
                <c:pt idx="22">
                  <c:v>0</c:v>
                </c:pt>
              </c:numCache>
            </c:numRef>
          </c:val>
          <c:extLst xmlns:c16r2="http://schemas.microsoft.com/office/drawing/2015/06/chart">
            <c:ext xmlns:c16="http://schemas.microsoft.com/office/drawing/2014/chart" uri="{C3380CC4-5D6E-409C-BE32-E72D297353CC}">
              <c16:uniqueId val="{00000006-1FBD-4780-9F3C-F2BDFA6547A6}"/>
            </c:ext>
          </c:extLst>
        </c:ser>
        <c:ser>
          <c:idx val="11"/>
          <c:order val="7"/>
          <c:tx>
            <c:strRef>
              <c:f>Resultaatgrafiek!$N$122</c:f>
              <c:strCache>
                <c:ptCount val="1"/>
                <c:pt idx="0">
                  <c:v>Biomassa - tbv elektriciteit</c:v>
                </c:pt>
              </c:strCache>
            </c:strRef>
          </c:tx>
          <c:spPr>
            <a:solidFill>
              <a:schemeClr val="accent3">
                <a:lumMod val="40000"/>
                <a:lumOff val="60000"/>
              </a:schemeClr>
            </a:solidFill>
          </c:spPr>
          <c:invertIfNegative val="0"/>
          <c:cat>
            <c:numRef>
              <c:f>Resultaatgrafiek!$I$247:$I$282</c:f>
              <c:numCache>
                <c:formatCode>0_ ;\-0\ </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Resultaatgrafiek!$N$136:$N$158</c:f>
              <c:numCache>
                <c:formatCode>_ * #,##0_ ;_ * \-#,##0_ ;_ * "-"??_ ;_ @_ </c:formatCode>
                <c:ptCount val="23"/>
                <c:pt idx="0">
                  <c:v>436.96206178673839</c:v>
                </c:pt>
                <c:pt idx="1">
                  <c:v>663.0553162670252</c:v>
                </c:pt>
                <c:pt idx="2">
                  <c:v>646.58828684408604</c:v>
                </c:pt>
                <c:pt idx="3">
                  <c:v>1136.3581362007171</c:v>
                </c:pt>
                <c:pt idx="4">
                  <c:v>1176.8303584229393</c:v>
                </c:pt>
                <c:pt idx="5">
                  <c:v>1190.7852903225807</c:v>
                </c:pt>
                <c:pt idx="6">
                  <c:v>1084.7161290322581</c:v>
                </c:pt>
                <c:pt idx="7">
                  <c:v>1084.7161290322581</c:v>
                </c:pt>
                <c:pt idx="8">
                  <c:v>1068.1428225806453</c:v>
                </c:pt>
                <c:pt idx="9">
                  <c:v>1051.5695161290323</c:v>
                </c:pt>
                <c:pt idx="10">
                  <c:v>1034.9962096774195</c:v>
                </c:pt>
                <c:pt idx="11">
                  <c:v>508.00623655913984</c:v>
                </c:pt>
                <c:pt idx="12">
                  <c:v>491.43293010752694</c:v>
                </c:pt>
                <c:pt idx="13">
                  <c:v>474.85962365591405</c:v>
                </c:pt>
                <c:pt idx="14">
                  <c:v>441.71301075268821</c:v>
                </c:pt>
                <c:pt idx="15">
                  <c:v>375.41978494623663</c:v>
                </c:pt>
                <c:pt idx="16">
                  <c:v>264.67674336917571</c:v>
                </c:pt>
                <c:pt idx="17">
                  <c:v>161.88888888888894</c:v>
                </c:pt>
                <c:pt idx="18">
                  <c:v>121.41666666666671</c:v>
                </c:pt>
                <c:pt idx="19">
                  <c:v>80.9444444444445</c:v>
                </c:pt>
                <c:pt idx="20">
                  <c:v>0</c:v>
                </c:pt>
                <c:pt idx="21">
                  <c:v>0</c:v>
                </c:pt>
                <c:pt idx="22">
                  <c:v>0</c:v>
                </c:pt>
              </c:numCache>
            </c:numRef>
          </c:val>
          <c:extLst xmlns:c16r2="http://schemas.microsoft.com/office/drawing/2015/06/chart">
            <c:ext xmlns:c16="http://schemas.microsoft.com/office/drawing/2014/chart" uri="{C3380CC4-5D6E-409C-BE32-E72D297353CC}">
              <c16:uniqueId val="{00000007-1FBD-4780-9F3C-F2BDFA6547A6}"/>
            </c:ext>
          </c:extLst>
        </c:ser>
        <c:ser>
          <c:idx val="12"/>
          <c:order val="8"/>
          <c:tx>
            <c:strRef>
              <c:f>Resultaatgrafiek!$O$122</c:f>
              <c:strCache>
                <c:ptCount val="1"/>
                <c:pt idx="0">
                  <c:v>Biomassa - tbv warmte</c:v>
                </c:pt>
              </c:strCache>
            </c:strRef>
          </c:tx>
          <c:spPr>
            <a:solidFill>
              <a:srgbClr val="B7CE88"/>
            </a:solidFill>
          </c:spPr>
          <c:invertIfNegative val="0"/>
          <c:cat>
            <c:numRef>
              <c:f>Resultaatgrafiek!$I$247:$I$282</c:f>
              <c:numCache>
                <c:formatCode>0_ ;\-0\ </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Resultaatgrafiek!$O$136:$O$158</c:f>
              <c:numCache>
                <c:formatCode>_ * #,##0_ ;_ * \-#,##0_ ;_ * "-"??_ ;_ @_ </c:formatCode>
                <c:ptCount val="23"/>
                <c:pt idx="0">
                  <c:v>87.847142857142842</c:v>
                </c:pt>
                <c:pt idx="1">
                  <c:v>131.77071428571426</c:v>
                </c:pt>
                <c:pt idx="2">
                  <c:v>175.69428571428568</c:v>
                </c:pt>
                <c:pt idx="3">
                  <c:v>219.61785714285708</c:v>
                </c:pt>
                <c:pt idx="4">
                  <c:v>263.54142857142853</c:v>
                </c:pt>
                <c:pt idx="5">
                  <c:v>307.46499999999997</c:v>
                </c:pt>
                <c:pt idx="6">
                  <c:v>307.46499999999997</c:v>
                </c:pt>
                <c:pt idx="7">
                  <c:v>307.46499999999997</c:v>
                </c:pt>
                <c:pt idx="8">
                  <c:v>307.46499999999997</c:v>
                </c:pt>
                <c:pt idx="9">
                  <c:v>307.46499999999997</c:v>
                </c:pt>
                <c:pt idx="10">
                  <c:v>307.46499999999997</c:v>
                </c:pt>
                <c:pt idx="11">
                  <c:v>307.46499999999997</c:v>
                </c:pt>
                <c:pt idx="12">
                  <c:v>307.46499999999997</c:v>
                </c:pt>
                <c:pt idx="13">
                  <c:v>307.46499999999997</c:v>
                </c:pt>
                <c:pt idx="14">
                  <c:v>307.46499999999997</c:v>
                </c:pt>
                <c:pt idx="15">
                  <c:v>307.46499999999997</c:v>
                </c:pt>
                <c:pt idx="16">
                  <c:v>203.29833333333332</c:v>
                </c:pt>
                <c:pt idx="17">
                  <c:v>99.131666666666618</c:v>
                </c:pt>
                <c:pt idx="18">
                  <c:v>-5.0350000000000783</c:v>
                </c:pt>
                <c:pt idx="19">
                  <c:v>0</c:v>
                </c:pt>
                <c:pt idx="20">
                  <c:v>0</c:v>
                </c:pt>
                <c:pt idx="21">
                  <c:v>0</c:v>
                </c:pt>
                <c:pt idx="22">
                  <c:v>0</c:v>
                </c:pt>
              </c:numCache>
            </c:numRef>
          </c:val>
          <c:extLst xmlns:c16r2="http://schemas.microsoft.com/office/drawing/2015/06/chart">
            <c:ext xmlns:c16="http://schemas.microsoft.com/office/drawing/2014/chart" uri="{C3380CC4-5D6E-409C-BE32-E72D297353CC}">
              <c16:uniqueId val="{00000008-1FBD-4780-9F3C-F2BDFA6547A6}"/>
            </c:ext>
          </c:extLst>
        </c:ser>
        <c:ser>
          <c:idx val="13"/>
          <c:order val="9"/>
          <c:tx>
            <c:strRef>
              <c:f>Resultaatgrafiek!$P$122</c:f>
              <c:strCache>
                <c:ptCount val="1"/>
                <c:pt idx="0">
                  <c:v>Biobrandstof bijmengen - tbv vervoer</c:v>
                </c:pt>
              </c:strCache>
            </c:strRef>
          </c:tx>
          <c:spPr>
            <a:solidFill>
              <a:srgbClr val="83A343"/>
            </a:solidFill>
          </c:spPr>
          <c:invertIfNegative val="0"/>
          <c:cat>
            <c:numRef>
              <c:f>Resultaatgrafiek!$I$247:$I$282</c:f>
              <c:numCache>
                <c:formatCode>0_ ;\-0\ </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Resultaatgrafiek!$P$136:$P$158</c:f>
              <c:numCache>
                <c:formatCode>_ * #,##0_ ;_ * \-#,##0_ ;_ * "-"??_ ;_ @_ </c:formatCode>
                <c:ptCount val="23"/>
                <c:pt idx="0">
                  <c:v>117.66240486279378</c:v>
                </c:pt>
                <c:pt idx="1">
                  <c:v>131.81728063576148</c:v>
                </c:pt>
                <c:pt idx="2">
                  <c:v>175.16658769047496</c:v>
                </c:pt>
                <c:pt idx="3">
                  <c:v>218.51589474518852</c:v>
                </c:pt>
                <c:pt idx="4">
                  <c:v>261.86520179990202</c:v>
                </c:pt>
                <c:pt idx="5">
                  <c:v>305.21450885461547</c:v>
                </c:pt>
                <c:pt idx="6">
                  <c:v>304.32982911880504</c:v>
                </c:pt>
                <c:pt idx="7">
                  <c:v>303.44514938299443</c:v>
                </c:pt>
                <c:pt idx="8">
                  <c:v>302.56046964718394</c:v>
                </c:pt>
                <c:pt idx="9">
                  <c:v>300.91749299496473</c:v>
                </c:pt>
                <c:pt idx="10">
                  <c:v>299.2745163427453</c:v>
                </c:pt>
                <c:pt idx="11">
                  <c:v>297.63153969052576</c:v>
                </c:pt>
                <c:pt idx="12">
                  <c:v>295.98856303830632</c:v>
                </c:pt>
                <c:pt idx="13">
                  <c:v>294.34558638608701</c:v>
                </c:pt>
                <c:pt idx="14">
                  <c:v>292.70260973386758</c:v>
                </c:pt>
                <c:pt idx="15">
                  <c:v>291.05963308164775</c:v>
                </c:pt>
                <c:pt idx="16">
                  <c:v>291.05963308164775</c:v>
                </c:pt>
                <c:pt idx="17">
                  <c:v>291.05963308164775</c:v>
                </c:pt>
                <c:pt idx="18">
                  <c:v>291.05963308164775</c:v>
                </c:pt>
                <c:pt idx="19">
                  <c:v>291.05963308164775</c:v>
                </c:pt>
                <c:pt idx="20">
                  <c:v>291.05963308164775</c:v>
                </c:pt>
                <c:pt idx="21">
                  <c:v>0</c:v>
                </c:pt>
                <c:pt idx="22">
                  <c:v>0</c:v>
                </c:pt>
              </c:numCache>
            </c:numRef>
          </c:val>
          <c:extLst xmlns:c16r2="http://schemas.microsoft.com/office/drawing/2015/06/chart">
            <c:ext xmlns:c16="http://schemas.microsoft.com/office/drawing/2014/chart" uri="{C3380CC4-5D6E-409C-BE32-E72D297353CC}">
              <c16:uniqueId val="{00000009-1FBD-4780-9F3C-F2BDFA6547A6}"/>
            </c:ext>
          </c:extLst>
        </c:ser>
        <c:ser>
          <c:idx val="14"/>
          <c:order val="10"/>
          <c:tx>
            <c:strRef>
              <c:f>Resultaatgrafiek!$Q$122</c:f>
              <c:strCache>
                <c:ptCount val="1"/>
                <c:pt idx="0">
                  <c:v>Schone voertuigen</c:v>
                </c:pt>
              </c:strCache>
            </c:strRef>
          </c:tx>
          <c:spPr>
            <a:solidFill>
              <a:schemeClr val="bg2">
                <a:lumMod val="90000"/>
              </a:schemeClr>
            </a:solidFill>
          </c:spPr>
          <c:invertIfNegative val="0"/>
          <c:cat>
            <c:numRef>
              <c:f>Resultaatgrafiek!$I$247:$I$282</c:f>
              <c:numCache>
                <c:formatCode>0_ ;\-0\ </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Resultaatgrafiek!$Q$136:$Q$158</c:f>
              <c:numCache>
                <c:formatCode>_ * #,##0_ ;_ * \-#,##0_ ;_ * "-"??_ ;_ @_ </c:formatCode>
                <c:ptCount val="23"/>
                <c:pt idx="0">
                  <c:v>203.26499999999999</c:v>
                </c:pt>
                <c:pt idx="1">
                  <c:v>170.95500000000001</c:v>
                </c:pt>
                <c:pt idx="2">
                  <c:v>315</c:v>
                </c:pt>
                <c:pt idx="3">
                  <c:v>315</c:v>
                </c:pt>
                <c:pt idx="4">
                  <c:v>315</c:v>
                </c:pt>
                <c:pt idx="5">
                  <c:v>315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xmlns:c16r2="http://schemas.microsoft.com/office/drawing/2015/06/chart">
            <c:ext xmlns:c16="http://schemas.microsoft.com/office/drawing/2014/chart" uri="{C3380CC4-5D6E-409C-BE32-E72D297353CC}">
              <c16:uniqueId val="{0000000A-1FBD-4780-9F3C-F2BDFA6547A6}"/>
            </c:ext>
          </c:extLst>
        </c:ser>
        <c:ser>
          <c:idx val="15"/>
          <c:order val="11"/>
          <c:tx>
            <c:strRef>
              <c:f>Resultaatgrafiek!$R$122</c:f>
              <c:strCache>
                <c:ptCount val="1"/>
                <c:pt idx="0">
                  <c:v>Energienetwerk uitbreiden</c:v>
                </c:pt>
              </c:strCache>
            </c:strRef>
          </c:tx>
          <c:spPr>
            <a:solidFill>
              <a:schemeClr val="bg2">
                <a:lumMod val="75000"/>
              </a:schemeClr>
            </a:solidFill>
          </c:spPr>
          <c:invertIfNegative val="0"/>
          <c:cat>
            <c:numRef>
              <c:f>Resultaatgrafiek!$I$247:$I$282</c:f>
              <c:numCache>
                <c:formatCode>0_ ;\-0\ </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Resultaatgrafiek!$R$136:$R$158</c:f>
              <c:numCache>
                <c:formatCode>_ * #,##0_ ;_ * \-#,##0_ ;_ * "-"??_ ;_ @_ </c:formatCode>
                <c:ptCount val="23"/>
                <c:pt idx="0">
                  <c:v>871.36236874999997</c:v>
                </c:pt>
                <c:pt idx="1">
                  <c:v>915.89421874999994</c:v>
                </c:pt>
                <c:pt idx="2">
                  <c:v>1613.68748125</c:v>
                </c:pt>
                <c:pt idx="3">
                  <c:v>1653.8582437499999</c:v>
                </c:pt>
                <c:pt idx="4">
                  <c:v>1694.0290062500001</c:v>
                </c:pt>
                <c:pt idx="5">
                  <c:v>1866.7315187499999</c:v>
                </c:pt>
                <c:pt idx="6">
                  <c:v>1121.8419187499999</c:v>
                </c:pt>
                <c:pt idx="7">
                  <c:v>589.45231875000013</c:v>
                </c:pt>
                <c:pt idx="8">
                  <c:v>657.06271875000004</c:v>
                </c:pt>
                <c:pt idx="9">
                  <c:v>657.06271875000004</c:v>
                </c:pt>
                <c:pt idx="10">
                  <c:v>657.06271875000004</c:v>
                </c:pt>
                <c:pt idx="11">
                  <c:v>657.06271875000004</c:v>
                </c:pt>
                <c:pt idx="12">
                  <c:v>657.06271875000004</c:v>
                </c:pt>
                <c:pt idx="13">
                  <c:v>641.89371875000006</c:v>
                </c:pt>
                <c:pt idx="14">
                  <c:v>633.65911874999995</c:v>
                </c:pt>
                <c:pt idx="15">
                  <c:v>598.20034999999996</c:v>
                </c:pt>
                <c:pt idx="16">
                  <c:v>553.66849999999999</c:v>
                </c:pt>
                <c:pt idx="17">
                  <c:v>455.87523750000003</c:v>
                </c:pt>
                <c:pt idx="18">
                  <c:v>415.704475</c:v>
                </c:pt>
                <c:pt idx="19">
                  <c:v>375.53371249999998</c:v>
                </c:pt>
                <c:pt idx="20">
                  <c:v>202.83120000000002</c:v>
                </c:pt>
                <c:pt idx="21">
                  <c:v>0</c:v>
                </c:pt>
                <c:pt idx="22">
                  <c:v>0</c:v>
                </c:pt>
              </c:numCache>
            </c:numRef>
          </c:val>
          <c:extLst xmlns:c16r2="http://schemas.microsoft.com/office/drawing/2015/06/chart">
            <c:ext xmlns:c16="http://schemas.microsoft.com/office/drawing/2014/chart" uri="{C3380CC4-5D6E-409C-BE32-E72D297353CC}">
              <c16:uniqueId val="{0000000B-1FBD-4780-9F3C-F2BDFA6547A6}"/>
            </c:ext>
          </c:extLst>
        </c:ser>
        <c:ser>
          <c:idx val="16"/>
          <c:order val="12"/>
          <c:tx>
            <c:strRef>
              <c:f>Resultaatgrafiek!$S$122</c:f>
              <c:strCache>
                <c:ptCount val="1"/>
                <c:pt idx="0">
                  <c:v>Energiebesparing</c:v>
                </c:pt>
              </c:strCache>
            </c:strRef>
          </c:tx>
          <c:spPr>
            <a:solidFill>
              <a:srgbClr val="C0B3D1"/>
            </a:solidFill>
            <a:ln>
              <a:solidFill>
                <a:schemeClr val="bg1">
                  <a:lumMod val="85000"/>
                </a:schemeClr>
              </a:solidFill>
            </a:ln>
          </c:spPr>
          <c:invertIfNegative val="0"/>
          <c:cat>
            <c:numRef>
              <c:f>Resultaatgrafiek!$I$247:$I$282</c:f>
              <c:numCache>
                <c:formatCode>0_ ;\-0\ </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Resultaatgrafiek!$S$136:$S$158</c:f>
              <c:numCache>
                <c:formatCode>_ * #,##0_ ;_ * \-#,##0_ ;_ * "-"??_ ;_ @_ </c:formatCode>
                <c:ptCount val="23"/>
                <c:pt idx="0">
                  <c:v>496.24715972856717</c:v>
                </c:pt>
                <c:pt idx="1">
                  <c:v>599.86006341878078</c:v>
                </c:pt>
                <c:pt idx="2">
                  <c:v>623.23392152261226</c:v>
                </c:pt>
                <c:pt idx="3">
                  <c:v>654.09889871168252</c:v>
                </c:pt>
                <c:pt idx="4">
                  <c:v>684.96387590075267</c:v>
                </c:pt>
                <c:pt idx="5">
                  <c:v>715.82885308982304</c:v>
                </c:pt>
                <c:pt idx="6">
                  <c:v>567.91558027889334</c:v>
                </c:pt>
                <c:pt idx="7">
                  <c:v>567.91558027889334</c:v>
                </c:pt>
                <c:pt idx="8">
                  <c:v>567.91558027889334</c:v>
                </c:pt>
                <c:pt idx="9">
                  <c:v>567.91558027889334</c:v>
                </c:pt>
                <c:pt idx="10">
                  <c:v>567.91558027889334</c:v>
                </c:pt>
                <c:pt idx="11">
                  <c:v>567.91558027889334</c:v>
                </c:pt>
                <c:pt idx="12">
                  <c:v>567.91558027889334</c:v>
                </c:pt>
                <c:pt idx="13">
                  <c:v>567.91558027889334</c:v>
                </c:pt>
                <c:pt idx="14">
                  <c:v>567.91558027889334</c:v>
                </c:pt>
                <c:pt idx="15">
                  <c:v>567.91558027889334</c:v>
                </c:pt>
                <c:pt idx="16">
                  <c:v>567.91558027889334</c:v>
                </c:pt>
                <c:pt idx="17">
                  <c:v>567.91558027889334</c:v>
                </c:pt>
                <c:pt idx="18">
                  <c:v>567.91558027889334</c:v>
                </c:pt>
                <c:pt idx="19">
                  <c:v>567.91558027889334</c:v>
                </c:pt>
                <c:pt idx="20">
                  <c:v>567.91558027889334</c:v>
                </c:pt>
                <c:pt idx="21">
                  <c:v>0</c:v>
                </c:pt>
                <c:pt idx="22">
                  <c:v>0</c:v>
                </c:pt>
              </c:numCache>
            </c:numRef>
          </c:val>
          <c:extLst xmlns:c16r2="http://schemas.microsoft.com/office/drawing/2015/06/chart">
            <c:ext xmlns:c16="http://schemas.microsoft.com/office/drawing/2014/chart" uri="{C3380CC4-5D6E-409C-BE32-E72D297353CC}">
              <c16:uniqueId val="{0000000C-1FBD-4780-9F3C-F2BDFA6547A6}"/>
            </c:ext>
          </c:extLst>
        </c:ser>
        <c:ser>
          <c:idx val="17"/>
          <c:order val="13"/>
          <c:tx>
            <c:strRef>
              <c:f>Resultaatgrafiek!$T$122</c:f>
              <c:strCache>
                <c:ptCount val="1"/>
                <c:pt idx="0">
                  <c:v>Overig i.e. CCS, emissiehandel en innovatie</c:v>
                </c:pt>
              </c:strCache>
            </c:strRef>
          </c:tx>
          <c:spPr>
            <a:solidFill>
              <a:srgbClr val="A18DB9"/>
            </a:solidFill>
          </c:spPr>
          <c:invertIfNegative val="0"/>
          <c:cat>
            <c:numRef>
              <c:f>Resultaatgrafiek!$I$247:$I$282</c:f>
              <c:numCache>
                <c:formatCode>0_ ;\-0\ </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Resultaatgrafiek!$T$136:$T$158</c:f>
              <c:numCache>
                <c:formatCode>_ * #,##0_ ;_ * \-#,##0_ ;_ * "-"??_ ;_ @_ </c:formatCode>
                <c:ptCount val="23"/>
                <c:pt idx="0">
                  <c:v>229.23974999999973</c:v>
                </c:pt>
                <c:pt idx="1">
                  <c:v>229.23974999999973</c:v>
                </c:pt>
                <c:pt idx="2">
                  <c:v>229.23974999999973</c:v>
                </c:pt>
                <c:pt idx="3">
                  <c:v>229.23974999999973</c:v>
                </c:pt>
                <c:pt idx="4">
                  <c:v>229.23974999999973</c:v>
                </c:pt>
                <c:pt idx="5">
                  <c:v>229.23974999999973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extLst xmlns:c16r2="http://schemas.microsoft.com/office/drawing/2015/06/chart">
            <c:ext xmlns:c16="http://schemas.microsoft.com/office/drawing/2014/chart" uri="{C3380CC4-5D6E-409C-BE32-E72D297353CC}">
              <c16:uniqueId val="{0000000D-1FBD-4780-9F3C-F2BDFA6547A6}"/>
            </c:ext>
          </c:extLst>
        </c:ser>
        <c:ser>
          <c:idx val="5"/>
          <c:order val="14"/>
          <c:tx>
            <c:strRef>
              <c:f>Resultaatgrafiek!$L$234</c:f>
              <c:strCache>
                <c:ptCount val="1"/>
                <c:pt idx="0">
                  <c:v>% 2030</c:v>
                </c:pt>
              </c:strCache>
            </c:strRef>
          </c:tx>
          <c:spPr>
            <a:solidFill>
              <a:schemeClr val="bg1">
                <a:lumMod val="65000"/>
              </a:schemeClr>
            </a:solidFill>
            <a:ln>
              <a:solidFill>
                <a:schemeClr val="bg1">
                  <a:lumMod val="85000"/>
                </a:schemeClr>
              </a:solidFill>
            </a:ln>
          </c:spPr>
          <c:invertIfNegative val="0"/>
          <c:cat>
            <c:numRef>
              <c:f>Resultaatgrafiek!$I$247:$I$282</c:f>
              <c:numCache>
                <c:formatCode>0_ ;\-0\ </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Resultaatgrafiek!$L$247:$L$282</c:f>
              <c:numCache>
                <c:formatCode>_ * #,##0_ ;_ * \-#,##0_ ;_ * "-"??_ ;_ @_ </c:formatCode>
                <c:ptCount val="36"/>
                <c:pt idx="0">
                  <c:v>0</c:v>
                </c:pt>
                <c:pt idx="1">
                  <c:v>0</c:v>
                </c:pt>
                <c:pt idx="2">
                  <c:v>0</c:v>
                </c:pt>
                <c:pt idx="3">
                  <c:v>0</c:v>
                </c:pt>
                <c:pt idx="4">
                  <c:v>0</c:v>
                </c:pt>
                <c:pt idx="5">
                  <c:v>0</c:v>
                </c:pt>
                <c:pt idx="6">
                  <c:v>779.54241017021081</c:v>
                </c:pt>
                <c:pt idx="7">
                  <c:v>1095.5230416023394</c:v>
                </c:pt>
                <c:pt idx="8">
                  <c:v>1161.1422716544666</c:v>
                </c:pt>
                <c:pt idx="9">
                  <c:v>1585.9087076106116</c:v>
                </c:pt>
                <c:pt idx="10">
                  <c:v>2010.6751435667563</c:v>
                </c:pt>
                <c:pt idx="11">
                  <c:v>2657.6826785739886</c:v>
                </c:pt>
                <c:pt idx="12">
                  <c:v>3082.4491145301331</c:v>
                </c:pt>
                <c:pt idx="13">
                  <c:v>3532.6683790784009</c:v>
                </c:pt>
                <c:pt idx="14">
                  <c:v>3989.0351733256925</c:v>
                </c:pt>
                <c:pt idx="15">
                  <c:v>4521.3097021380481</c:v>
                </c:pt>
                <c:pt idx="16">
                  <c:v>4579.3610859679684</c:v>
                </c:pt>
                <c:pt idx="17">
                  <c:v>4586.0593225637276</c:v>
                </c:pt>
                <c:pt idx="18">
                  <c:v>4541.4044119253267</c:v>
                </c:pt>
                <c:pt idx="19">
                  <c:v>4445.3963540527648</c:v>
                </c:pt>
                <c:pt idx="20">
                  <c:v>4298.0351489460427</c:v>
                </c:pt>
                <c:pt idx="21">
                  <c:v>4099.3207966051605</c:v>
                </c:pt>
                <c:pt idx="22">
                  <c:v>3849.2532970301177</c:v>
                </c:pt>
                <c:pt idx="23">
                  <c:v>3547.8326502209138</c:v>
                </c:pt>
                <c:pt idx="24">
                  <c:v>3195.0588561775498</c:v>
                </c:pt>
                <c:pt idx="25">
                  <c:v>2790.9319149000266</c:v>
                </c:pt>
                <c:pt idx="26">
                  <c:v>2389.0377191544226</c:v>
                </c:pt>
                <c:pt idx="27">
                  <c:v>1908.9974297916172</c:v>
                </c:pt>
                <c:pt idx="28">
                  <c:v>1350.8110468116115</c:v>
                </c:pt>
                <c:pt idx="29">
                  <c:v>714.47857021440461</c:v>
                </c:pt>
                <c:pt idx="30">
                  <c:v>-3.0125846475759439E-12</c:v>
                </c:pt>
                <c:pt idx="31">
                  <c:v>0</c:v>
                </c:pt>
                <c:pt idx="32">
                  <c:v>0</c:v>
                </c:pt>
                <c:pt idx="33">
                  <c:v>0</c:v>
                </c:pt>
                <c:pt idx="34">
                  <c:v>0</c:v>
                </c:pt>
                <c:pt idx="35">
                  <c:v>0</c:v>
                </c:pt>
              </c:numCache>
            </c:numRef>
          </c:val>
          <c:extLst xmlns:c16r2="http://schemas.microsoft.com/office/drawing/2015/06/chart">
            <c:ext xmlns:c16="http://schemas.microsoft.com/office/drawing/2014/chart" uri="{C3380CC4-5D6E-409C-BE32-E72D297353CC}">
              <c16:uniqueId val="{0000000E-1FBD-4780-9F3C-F2BDFA6547A6}"/>
            </c:ext>
          </c:extLst>
        </c:ser>
        <c:ser>
          <c:idx val="0"/>
          <c:order val="15"/>
          <c:tx>
            <c:strRef>
              <c:f>Resultaatgrafiek!$M$234</c:f>
              <c:strCache>
                <c:ptCount val="1"/>
                <c:pt idx="0">
                  <c:v>% 2040</c:v>
                </c:pt>
              </c:strCache>
            </c:strRef>
          </c:tx>
          <c:spPr>
            <a:solidFill>
              <a:srgbClr val="CDCDCD"/>
            </a:solidFill>
            <a:ln>
              <a:solidFill>
                <a:schemeClr val="bg1">
                  <a:lumMod val="75000"/>
                </a:schemeClr>
              </a:solidFill>
            </a:ln>
          </c:spPr>
          <c:invertIfNegative val="0"/>
          <c:cat>
            <c:numRef>
              <c:f>Resultaatgrafiek!$I$247:$I$282</c:f>
              <c:numCache>
                <c:formatCode>0_ ;\-0\ </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Resultaatgrafiek!$M$247:$M$282</c:f>
              <c:numCache>
                <c:formatCode>_ * #,##0_ ;_ * \-#,##0_ ;_ * "-"??_ ;_ @_ </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649.01873834053254</c:v>
                </c:pt>
                <c:pt idx="17">
                  <c:v>1495.9662139641928</c:v>
                </c:pt>
                <c:pt idx="18">
                  <c:v>2184.5891631662644</c:v>
                </c:pt>
                <c:pt idx="19">
                  <c:v>2877.017638211717</c:v>
                </c:pt>
                <c:pt idx="20">
                  <c:v>3782.0528906196714</c:v>
                </c:pt>
                <c:pt idx="21">
                  <c:v>5167.1525553986276</c:v>
                </c:pt>
                <c:pt idx="22">
                  <c:v>5968.8602255166197</c:v>
                </c:pt>
                <c:pt idx="23">
                  <c:v>6821.9210428687711</c:v>
                </c:pt>
                <c:pt idx="24">
                  <c:v>7700.0347817162383</c:v>
                </c:pt>
                <c:pt idx="25">
                  <c:v>8629.5016677978674</c:v>
                </c:pt>
                <c:pt idx="26">
                  <c:v>8617.9956655741371</c:v>
                </c:pt>
                <c:pt idx="27">
                  <c:v>8525.9476477842927</c:v>
                </c:pt>
                <c:pt idx="28">
                  <c:v>8353.3576144283379</c:v>
                </c:pt>
                <c:pt idx="29">
                  <c:v>8100.2255655062654</c:v>
                </c:pt>
                <c:pt idx="30">
                  <c:v>7766.5515010180825</c:v>
                </c:pt>
                <c:pt idx="31">
                  <c:v>7352.3354209637846</c:v>
                </c:pt>
                <c:pt idx="32">
                  <c:v>6857.5773253433736</c:v>
                </c:pt>
                <c:pt idx="33">
                  <c:v>6282.2772141568494</c:v>
                </c:pt>
                <c:pt idx="34">
                  <c:v>5626.4350874042111</c:v>
                </c:pt>
                <c:pt idx="35">
                  <c:v>4890.0509450854606</c:v>
                </c:pt>
              </c:numCache>
            </c:numRef>
          </c:val>
          <c:extLst xmlns:c16r2="http://schemas.microsoft.com/office/drawing/2015/06/chart">
            <c:ext xmlns:c16="http://schemas.microsoft.com/office/drawing/2014/chart" uri="{C3380CC4-5D6E-409C-BE32-E72D297353CC}">
              <c16:uniqueId val="{0000000F-1FBD-4780-9F3C-F2BDFA6547A6}"/>
            </c:ext>
          </c:extLst>
        </c:ser>
        <c:ser>
          <c:idx val="1"/>
          <c:order val="16"/>
          <c:tx>
            <c:strRef>
              <c:f>Resultaatgrafiek!$N$234</c:f>
              <c:strCache>
                <c:ptCount val="1"/>
                <c:pt idx="0">
                  <c:v>% 2050</c:v>
                </c:pt>
              </c:strCache>
            </c:strRef>
          </c:tx>
          <c:spPr>
            <a:solidFill>
              <a:srgbClr val="EAEAEA"/>
            </a:solidFill>
            <a:ln>
              <a:solidFill>
                <a:schemeClr val="bg1">
                  <a:lumMod val="65000"/>
                </a:schemeClr>
              </a:solidFill>
            </a:ln>
          </c:spPr>
          <c:invertIfNegative val="0"/>
          <c:cat>
            <c:numRef>
              <c:f>Resultaatgrafiek!$I$247:$I$282</c:f>
              <c:numCache>
                <c:formatCode>0_ ;\-0\ </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Resultaatgrafiek!$N$247:$N$282</c:f>
              <c:numCache>
                <c:formatCode>_ * #,##0_ ;_ * \-#,##0_ ;_ * "-"??_ ;_ @_ </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1212.830548758187</c:v>
                </c:pt>
                <c:pt idx="27">
                  <c:v>2584.3492066996882</c:v>
                </c:pt>
                <c:pt idx="28">
                  <c:v>4114.5559738245047</c:v>
                </c:pt>
                <c:pt idx="29">
                  <c:v>5803.4508501326354</c:v>
                </c:pt>
                <c:pt idx="30">
                  <c:v>7651.0338356240791</c:v>
                </c:pt>
                <c:pt idx="31">
                  <c:v>8864.680266467225</c:v>
                </c:pt>
                <c:pt idx="32">
                  <c:v>10158.86871287649</c:v>
                </c:pt>
                <c:pt idx="33">
                  <c:v>11533.599174851868</c:v>
                </c:pt>
                <c:pt idx="34">
                  <c:v>12988.871652393356</c:v>
                </c:pt>
                <c:pt idx="35">
                  <c:v>14524.686145500962</c:v>
                </c:pt>
              </c:numCache>
            </c:numRef>
          </c:val>
          <c:extLst xmlns:c16r2="http://schemas.microsoft.com/office/drawing/2015/06/chart">
            <c:ext xmlns:c16="http://schemas.microsoft.com/office/drawing/2014/chart" uri="{C3380CC4-5D6E-409C-BE32-E72D297353CC}">
              <c16:uniqueId val="{00000010-1FBD-4780-9F3C-F2BDFA6547A6}"/>
            </c:ext>
          </c:extLst>
        </c:ser>
        <c:dLbls>
          <c:showLegendKey val="0"/>
          <c:showVal val="0"/>
          <c:showCatName val="0"/>
          <c:showSerName val="0"/>
          <c:showPercent val="0"/>
          <c:showBubbleSize val="0"/>
        </c:dLbls>
        <c:gapWidth val="60"/>
        <c:overlap val="100"/>
        <c:axId val="362734720"/>
        <c:axId val="362736256"/>
      </c:barChart>
      <c:catAx>
        <c:axId val="362734720"/>
        <c:scaling>
          <c:orientation val="minMax"/>
        </c:scaling>
        <c:delete val="0"/>
        <c:axPos val="b"/>
        <c:numFmt formatCode="0_ ;\-0\ " sourceLinked="1"/>
        <c:majorTickMark val="out"/>
        <c:minorTickMark val="none"/>
        <c:tickLblPos val="nextTo"/>
        <c:txPr>
          <a:bodyPr rot="-5400000" vert="horz"/>
          <a:lstStyle/>
          <a:p>
            <a:pPr>
              <a:defRPr sz="1100">
                <a:latin typeface="Arial" panose="020B0604020202020204" pitchFamily="34" charset="0"/>
                <a:cs typeface="Arial" panose="020B0604020202020204" pitchFamily="34" charset="0"/>
              </a:defRPr>
            </a:pPr>
            <a:endParaRPr lang="nl-NL"/>
          </a:p>
        </c:txPr>
        <c:crossAx val="362736256"/>
        <c:crosses val="autoZero"/>
        <c:auto val="1"/>
        <c:lblAlgn val="ctr"/>
        <c:lblOffset val="100"/>
        <c:noMultiLvlLbl val="0"/>
      </c:catAx>
      <c:valAx>
        <c:axId val="362736256"/>
        <c:scaling>
          <c:orientation val="minMax"/>
          <c:min val="0"/>
        </c:scaling>
        <c:delete val="0"/>
        <c:axPos val="l"/>
        <c:majorGridlines/>
        <c:title>
          <c:tx>
            <c:rich>
              <a:bodyPr rot="-5400000" vert="horz"/>
              <a:lstStyle/>
              <a:p>
                <a:pPr>
                  <a:defRPr sz="1600">
                    <a:latin typeface="Arial" panose="020B0604020202020204" pitchFamily="34" charset="0"/>
                    <a:cs typeface="Arial" panose="020B0604020202020204" pitchFamily="34" charset="0"/>
                  </a:defRPr>
                </a:pPr>
                <a:r>
                  <a:rPr lang="en-US" sz="1600">
                    <a:latin typeface="Arial" panose="020B0604020202020204" pitchFamily="34" charset="0"/>
                    <a:cs typeface="Arial" panose="020B0604020202020204" pitchFamily="34" charset="0"/>
                  </a:rPr>
                  <a:t>Uitgaven,  mln €</a:t>
                </a:r>
              </a:p>
            </c:rich>
          </c:tx>
          <c:layout>
            <c:manualLayout>
              <c:xMode val="edge"/>
              <c:yMode val="edge"/>
              <c:x val="3.1921965719109899E-3"/>
              <c:y val="0.39761186868680132"/>
            </c:manualLayout>
          </c:layout>
          <c:overlay val="0"/>
        </c:title>
        <c:numFmt formatCode="_ * #,##0_ ;_ * \-#,##0_ ;_ * &quot;-&quot;??_ ;_ @_ " sourceLinked="1"/>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nl-NL"/>
          </a:p>
        </c:txPr>
        <c:crossAx val="362734720"/>
        <c:crosses val="autoZero"/>
        <c:crossBetween val="between"/>
      </c:valAx>
      <c:spPr>
        <a:ln>
          <a:solidFill>
            <a:schemeClr val="bg1">
              <a:lumMod val="75000"/>
            </a:schemeClr>
          </a:solidFill>
        </a:ln>
      </c:spPr>
    </c:plotArea>
    <c:legend>
      <c:legendPos val="r"/>
      <c:layout>
        <c:manualLayout>
          <c:xMode val="edge"/>
          <c:yMode val="edge"/>
          <c:x val="0.76045227142807259"/>
          <c:y val="0.19106566922046253"/>
          <c:w val="0.21022710385093404"/>
          <c:h val="0.80402103560913896"/>
        </c:manualLayout>
      </c:layout>
      <c:overlay val="0"/>
      <c:spPr>
        <a:solidFill>
          <a:schemeClr val="bg1"/>
        </a:solidFill>
        <a:ln>
          <a:solidFill>
            <a:schemeClr val="bg1">
              <a:lumMod val="75000"/>
            </a:schemeClr>
          </a:solidFill>
        </a:ln>
      </c:spPr>
    </c:legend>
    <c:plotVisOnly val="1"/>
    <c:dispBlanksAs val="gap"/>
    <c:showDLblsOverMax val="0"/>
  </c:chart>
  <c:spPr>
    <a:ln>
      <a:solidFill>
        <a:schemeClr val="tx2">
          <a:lumMod val="60000"/>
          <a:lumOff val="40000"/>
        </a:schemeClr>
      </a:solidFill>
    </a:ln>
    <a:effectLst>
      <a:outerShdw blurRad="50800" dist="38100" dir="2700000" algn="tl" rotWithShape="0">
        <a:prstClr val="black">
          <a:alpha val="40000"/>
        </a:prstClr>
      </a:outerShdw>
    </a:effectLst>
  </c:spPr>
  <c:txPr>
    <a:bodyPr/>
    <a:lstStyle/>
    <a:p>
      <a:pPr>
        <a:defRPr sz="1200"/>
      </a:pPr>
      <a:endParaRPr lang="nl-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latin typeface="Arial" panose="020B0604020202020204" pitchFamily="34" charset="0"/>
                <a:cs typeface="Arial" panose="020B0604020202020204" pitchFamily="34" charset="0"/>
              </a:defRPr>
            </a:pPr>
            <a:r>
              <a:rPr lang="nl-NL" sz="1800" b="1" i="0" baseline="0">
                <a:effectLst/>
              </a:rPr>
              <a:t>Uitgaven EnergieAkkoord maatregelen (bovenop reguliere energieuitgaven)</a:t>
            </a:r>
            <a:endParaRPr lang="nl-NL">
              <a:effectLst/>
            </a:endParaRPr>
          </a:p>
        </c:rich>
      </c:tx>
      <c:layout/>
      <c:overlay val="0"/>
    </c:title>
    <c:autoTitleDeleted val="0"/>
    <c:plotArea>
      <c:layout>
        <c:manualLayout>
          <c:layoutTarget val="inner"/>
          <c:xMode val="edge"/>
          <c:yMode val="edge"/>
          <c:x val="8.2160211354086618E-2"/>
          <c:y val="9.5062423350376346E-2"/>
          <c:w val="0.67237140157480313"/>
          <c:h val="0.82027887312031145"/>
        </c:manualLayout>
      </c:layout>
      <c:barChart>
        <c:barDir val="col"/>
        <c:grouping val="stacked"/>
        <c:varyColors val="0"/>
        <c:ser>
          <c:idx val="14"/>
          <c:order val="0"/>
          <c:tx>
            <c:strRef>
              <c:f>Resultaatgrafiek!$G$122</c:f>
              <c:strCache>
                <c:ptCount val="1"/>
                <c:pt idx="0">
                  <c:v>Wind op Land</c:v>
                </c:pt>
              </c:strCache>
            </c:strRef>
          </c:tx>
          <c:spPr>
            <a:solidFill>
              <a:srgbClr val="C8D7EB"/>
            </a:solidFill>
          </c:spPr>
          <c:invertIfNegative val="0"/>
          <c:cat>
            <c:numRef>
              <c:f>Resultaatgrafiek!$A$124:$A$158</c:f>
              <c:numCache>
                <c:formatCode>General</c:formatCode>
                <c:ptCount val="3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numCache>
            </c:numRef>
          </c:cat>
          <c:val>
            <c:numRef>
              <c:f>Resultaatgrafiek!$G$124:$G$158</c:f>
              <c:numCache>
                <c:formatCode>_ * #,##0_ ;_ * \-#,##0_ ;_ * "-"??_ ;_ @_ </c:formatCode>
                <c:ptCount val="35"/>
                <c:pt idx="0">
                  <c:v>104.35354838709678</c:v>
                </c:pt>
                <c:pt idx="1">
                  <c:v>117.39774193548386</c:v>
                </c:pt>
                <c:pt idx="2">
                  <c:v>117.39774193548386</c:v>
                </c:pt>
                <c:pt idx="3">
                  <c:v>117.39774193548386</c:v>
                </c:pt>
                <c:pt idx="4">
                  <c:v>133.28296083870967</c:v>
                </c:pt>
                <c:pt idx="5">
                  <c:v>150.81305254838708</c:v>
                </c:pt>
                <c:pt idx="6">
                  <c:v>189.94563319354839</c:v>
                </c:pt>
                <c:pt idx="7">
                  <c:v>196.46772996774192</c:v>
                </c:pt>
                <c:pt idx="8">
                  <c:v>202.98982674193547</c:v>
                </c:pt>
                <c:pt idx="9">
                  <c:v>202.98982674193547</c:v>
                </c:pt>
                <c:pt idx="10">
                  <c:v>218.78943964516128</c:v>
                </c:pt>
                <c:pt idx="11">
                  <c:v>207.27933641935482</c:v>
                </c:pt>
                <c:pt idx="12">
                  <c:v>287.49592996774197</c:v>
                </c:pt>
                <c:pt idx="13">
                  <c:v>463.62221383870974</c:v>
                </c:pt>
                <c:pt idx="14">
                  <c:v>509.72949816129034</c:v>
                </c:pt>
                <c:pt idx="15">
                  <c:v>554.1919096774194</c:v>
                </c:pt>
                <c:pt idx="16">
                  <c:v>622.70650967741938</c:v>
                </c:pt>
                <c:pt idx="17">
                  <c:v>680.78575483870975</c:v>
                </c:pt>
                <c:pt idx="18">
                  <c:v>639.04433548387101</c:v>
                </c:pt>
                <c:pt idx="19">
                  <c:v>639.04433548387101</c:v>
                </c:pt>
                <c:pt idx="20">
                  <c:v>632.52223870967748</c:v>
                </c:pt>
                <c:pt idx="21">
                  <c:v>626.00014193548395</c:v>
                </c:pt>
                <c:pt idx="22">
                  <c:v>619.47804516129042</c:v>
                </c:pt>
                <c:pt idx="23">
                  <c:v>612.9559483870969</c:v>
                </c:pt>
                <c:pt idx="24">
                  <c:v>606.43385161290337</c:v>
                </c:pt>
                <c:pt idx="25">
                  <c:v>558.02375483870969</c:v>
                </c:pt>
                <c:pt idx="26">
                  <c:v>522.57476129032261</c:v>
                </c:pt>
                <c:pt idx="27">
                  <c:v>429.31397419354846</c:v>
                </c:pt>
                <c:pt idx="28">
                  <c:v>298.58148387096782</c:v>
                </c:pt>
                <c:pt idx="29">
                  <c:v>205.54380000000003</c:v>
                </c:pt>
                <c:pt idx="30">
                  <c:v>137.02920000000003</c:v>
                </c:pt>
                <c:pt idx="31">
                  <c:v>68.514600000000016</c:v>
                </c:pt>
                <c:pt idx="32">
                  <c:v>0</c:v>
                </c:pt>
                <c:pt idx="33">
                  <c:v>0</c:v>
                </c:pt>
                <c:pt idx="34">
                  <c:v>0</c:v>
                </c:pt>
              </c:numCache>
            </c:numRef>
          </c:val>
          <c:extLst xmlns:c16r2="http://schemas.microsoft.com/office/drawing/2015/06/chart">
            <c:ext xmlns:c16="http://schemas.microsoft.com/office/drawing/2014/chart" uri="{C3380CC4-5D6E-409C-BE32-E72D297353CC}">
              <c16:uniqueId val="{00000000-9031-4B95-AA9A-E704AAD4D420}"/>
            </c:ext>
          </c:extLst>
        </c:ser>
        <c:ser>
          <c:idx val="13"/>
          <c:order val="1"/>
          <c:tx>
            <c:strRef>
              <c:f>Resultaatgrafiek!$H$122</c:f>
              <c:strCache>
                <c:ptCount val="1"/>
                <c:pt idx="0">
                  <c:v>Wind op Zee</c:v>
                </c:pt>
              </c:strCache>
            </c:strRef>
          </c:tx>
          <c:spPr>
            <a:solidFill>
              <a:srgbClr val="95B3D7"/>
            </a:solidFill>
          </c:spPr>
          <c:invertIfNegative val="0"/>
          <c:cat>
            <c:numRef>
              <c:f>Resultaatgrafiek!$A$124:$A$158</c:f>
              <c:numCache>
                <c:formatCode>General</c:formatCode>
                <c:ptCount val="3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numCache>
            </c:numRef>
          </c:cat>
          <c:val>
            <c:numRef>
              <c:f>Resultaatgrafiek!$H$124:$H$158</c:f>
              <c:numCache>
                <c:formatCode>_ * #,##0_ ;_ * \-#,##0_ ;_ * "-"??_ ;_ @_ </c:formatCode>
                <c:ptCount val="35"/>
                <c:pt idx="0">
                  <c:v>20.150967741935482</c:v>
                </c:pt>
                <c:pt idx="1">
                  <c:v>22.669838709677414</c:v>
                </c:pt>
                <c:pt idx="2">
                  <c:v>22.669838709677414</c:v>
                </c:pt>
                <c:pt idx="3">
                  <c:v>22.669838709677414</c:v>
                </c:pt>
                <c:pt idx="4">
                  <c:v>25.737319774193548</c:v>
                </c:pt>
                <c:pt idx="5">
                  <c:v>29.122430467741935</c:v>
                </c:pt>
                <c:pt idx="6">
                  <c:v>36.67904337096774</c:v>
                </c:pt>
                <c:pt idx="7">
                  <c:v>37.938478854838706</c:v>
                </c:pt>
                <c:pt idx="8">
                  <c:v>39.197914338709673</c:v>
                </c:pt>
                <c:pt idx="9">
                  <c:v>39.197914338709673</c:v>
                </c:pt>
                <c:pt idx="10">
                  <c:v>34.160172403225801</c:v>
                </c:pt>
                <c:pt idx="11">
                  <c:v>27.611107887096775</c:v>
                </c:pt>
                <c:pt idx="12">
                  <c:v>76.773978854838703</c:v>
                </c:pt>
                <c:pt idx="13">
                  <c:v>90.879656274193536</c:v>
                </c:pt>
                <c:pt idx="14">
                  <c:v>416.49273972580653</c:v>
                </c:pt>
                <c:pt idx="15">
                  <c:v>411.84819354838714</c:v>
                </c:pt>
                <c:pt idx="16">
                  <c:v>411.84819354838714</c:v>
                </c:pt>
                <c:pt idx="17">
                  <c:v>602.14209677419353</c:v>
                </c:pt>
                <c:pt idx="18">
                  <c:v>654.4849096774193</c:v>
                </c:pt>
                <c:pt idx="19">
                  <c:v>714.88810967741938</c:v>
                </c:pt>
                <c:pt idx="20">
                  <c:v>774.03187419354845</c:v>
                </c:pt>
                <c:pt idx="21">
                  <c:v>772.77243870967743</c:v>
                </c:pt>
                <c:pt idx="22">
                  <c:v>771.51300322580653</c:v>
                </c:pt>
                <c:pt idx="23">
                  <c:v>770.25356774193551</c:v>
                </c:pt>
                <c:pt idx="24">
                  <c:v>768.99413225806461</c:v>
                </c:pt>
                <c:pt idx="25">
                  <c:v>767.73469677419359</c:v>
                </c:pt>
                <c:pt idx="26">
                  <c:v>765.21582580645168</c:v>
                </c:pt>
                <c:pt idx="27">
                  <c:v>713.53408387096783</c:v>
                </c:pt>
                <c:pt idx="28">
                  <c:v>708.19407741935493</c:v>
                </c:pt>
                <c:pt idx="29">
                  <c:v>373.51859999999999</c:v>
                </c:pt>
                <c:pt idx="30">
                  <c:v>373.51859999999999</c:v>
                </c:pt>
                <c:pt idx="31">
                  <c:v>373.51859999999999</c:v>
                </c:pt>
                <c:pt idx="32">
                  <c:v>181.20959999999999</c:v>
                </c:pt>
                <c:pt idx="33">
                  <c:v>120.80640000000001</c:v>
                </c:pt>
                <c:pt idx="34">
                  <c:v>60.403200000000005</c:v>
                </c:pt>
              </c:numCache>
            </c:numRef>
          </c:val>
          <c:extLst xmlns:c16r2="http://schemas.microsoft.com/office/drawing/2015/06/chart">
            <c:ext xmlns:c16="http://schemas.microsoft.com/office/drawing/2014/chart" uri="{C3380CC4-5D6E-409C-BE32-E72D297353CC}">
              <c16:uniqueId val="{00000001-9031-4B95-AA9A-E704AAD4D420}"/>
            </c:ext>
          </c:extLst>
        </c:ser>
        <c:ser>
          <c:idx val="12"/>
          <c:order val="2"/>
          <c:tx>
            <c:strRef>
              <c:f>Resultaatgrafiek!$I$122</c:f>
              <c:strCache>
                <c:ptCount val="1"/>
                <c:pt idx="0">
                  <c:v>Zon-PV - groot</c:v>
                </c:pt>
              </c:strCache>
            </c:strRef>
          </c:tx>
          <c:spPr>
            <a:solidFill>
              <a:srgbClr val="FFFF00"/>
            </a:solidFill>
          </c:spPr>
          <c:invertIfNegative val="0"/>
          <c:cat>
            <c:numRef>
              <c:f>Resultaatgrafiek!$A$124:$A$158</c:f>
              <c:numCache>
                <c:formatCode>General</c:formatCode>
                <c:ptCount val="3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numCache>
            </c:numRef>
          </c:cat>
          <c:val>
            <c:numRef>
              <c:f>Resultaatgrafiek!$I$124:$I$158</c:f>
              <c:numCache>
                <c:formatCode>_ * #,##0_ ;_ * \-#,##0_ ;_ * "-"??_ ;_ @_ </c:formatCode>
                <c:ptCount val="35"/>
                <c:pt idx="0">
                  <c:v>6.5290322580645164</c:v>
                </c:pt>
                <c:pt idx="1">
                  <c:v>7.3451612903225802</c:v>
                </c:pt>
                <c:pt idx="2">
                  <c:v>7.3451612903225802</c:v>
                </c:pt>
                <c:pt idx="3">
                  <c:v>7.3451612903225802</c:v>
                </c:pt>
                <c:pt idx="4">
                  <c:v>8.3390432258064511</c:v>
                </c:pt>
                <c:pt idx="5">
                  <c:v>9.4358390322580643</c:v>
                </c:pt>
                <c:pt idx="6">
                  <c:v>11.884226129032259</c:v>
                </c:pt>
                <c:pt idx="7">
                  <c:v>12.292290645161291</c:v>
                </c:pt>
                <c:pt idx="8">
                  <c:v>12.700355161290323</c:v>
                </c:pt>
                <c:pt idx="9">
                  <c:v>12.700355161290323</c:v>
                </c:pt>
                <c:pt idx="10">
                  <c:v>11.068097096774194</c:v>
                </c:pt>
                <c:pt idx="11">
                  <c:v>12.846161612903227</c:v>
                </c:pt>
                <c:pt idx="12">
                  <c:v>21.862290645161288</c:v>
                </c:pt>
                <c:pt idx="13">
                  <c:v>31.12261322580645</c:v>
                </c:pt>
                <c:pt idx="14">
                  <c:v>34.410666774193551</c:v>
                </c:pt>
                <c:pt idx="15">
                  <c:v>37.595806451612901</c:v>
                </c:pt>
                <c:pt idx="16">
                  <c:v>42.285806451612899</c:v>
                </c:pt>
                <c:pt idx="17">
                  <c:v>46.322903225806449</c:v>
                </c:pt>
                <c:pt idx="18">
                  <c:v>43.711290322580645</c:v>
                </c:pt>
                <c:pt idx="19">
                  <c:v>43.711290322580645</c:v>
                </c:pt>
                <c:pt idx="20">
                  <c:v>43.303225806451607</c:v>
                </c:pt>
                <c:pt idx="21">
                  <c:v>42.895161290322577</c:v>
                </c:pt>
                <c:pt idx="22">
                  <c:v>42.487096774193546</c:v>
                </c:pt>
                <c:pt idx="23">
                  <c:v>42.079032258064515</c:v>
                </c:pt>
                <c:pt idx="24">
                  <c:v>41.670967741935485</c:v>
                </c:pt>
                <c:pt idx="25">
                  <c:v>39.862903225806448</c:v>
                </c:pt>
                <c:pt idx="26">
                  <c:v>36.546774193548387</c:v>
                </c:pt>
                <c:pt idx="27">
                  <c:v>26.714516129032258</c:v>
                </c:pt>
                <c:pt idx="28">
                  <c:v>20.294322580645161</c:v>
                </c:pt>
                <c:pt idx="29">
                  <c:v>14.07</c:v>
                </c:pt>
                <c:pt idx="30">
                  <c:v>9.3800000000000008</c:v>
                </c:pt>
                <c:pt idx="31">
                  <c:v>4.6900000000000004</c:v>
                </c:pt>
                <c:pt idx="32">
                  <c:v>0</c:v>
                </c:pt>
                <c:pt idx="33">
                  <c:v>0</c:v>
                </c:pt>
                <c:pt idx="34">
                  <c:v>0</c:v>
                </c:pt>
              </c:numCache>
            </c:numRef>
          </c:val>
          <c:extLst xmlns:c16r2="http://schemas.microsoft.com/office/drawing/2015/06/chart">
            <c:ext xmlns:c16="http://schemas.microsoft.com/office/drawing/2014/chart" uri="{C3380CC4-5D6E-409C-BE32-E72D297353CC}">
              <c16:uniqueId val="{00000002-9031-4B95-AA9A-E704AAD4D420}"/>
            </c:ext>
          </c:extLst>
        </c:ser>
        <c:ser>
          <c:idx val="11"/>
          <c:order val="3"/>
          <c:tx>
            <c:strRef>
              <c:f>Resultaatgrafiek!$J$122</c:f>
              <c:strCache>
                <c:ptCount val="1"/>
                <c:pt idx="0">
                  <c:v>Zon-PV - klein</c:v>
                </c:pt>
              </c:strCache>
            </c:strRef>
          </c:tx>
          <c:spPr>
            <a:solidFill>
              <a:srgbClr val="FFCB25"/>
            </a:solidFill>
          </c:spPr>
          <c:invertIfNegative val="0"/>
          <c:cat>
            <c:numRef>
              <c:f>Resultaatgrafiek!$A$124:$A$158</c:f>
              <c:numCache>
                <c:formatCode>General</c:formatCode>
                <c:ptCount val="3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numCache>
            </c:numRef>
          </c:cat>
          <c:val>
            <c:numRef>
              <c:f>Resultaatgrafiek!$J$124:$J$158</c:f>
              <c:numCache>
                <c:formatCode>_ * #,##0_ ;_ * \-#,##0_ ;_ * "-"??_ ;_ @_ </c:formatCode>
                <c:ptCount val="35"/>
                <c:pt idx="0">
                  <c:v>3.3333333333333339</c:v>
                </c:pt>
                <c:pt idx="1">
                  <c:v>3.3333333333333339</c:v>
                </c:pt>
                <c:pt idx="2">
                  <c:v>3.3333333333333339</c:v>
                </c:pt>
                <c:pt idx="3">
                  <c:v>3.3472222222222223</c:v>
                </c:pt>
                <c:pt idx="4">
                  <c:v>3.3777777777777782</c:v>
                </c:pt>
                <c:pt idx="5">
                  <c:v>3.4777777777777787</c:v>
                </c:pt>
                <c:pt idx="6">
                  <c:v>4.4027777777777777</c:v>
                </c:pt>
                <c:pt idx="7">
                  <c:v>8.9666666666666686</c:v>
                </c:pt>
                <c:pt idx="8">
                  <c:v>18.011111111111113</c:v>
                </c:pt>
                <c:pt idx="9">
                  <c:v>59.222222222222229</c:v>
                </c:pt>
                <c:pt idx="10">
                  <c:v>73.684407382550347</c:v>
                </c:pt>
                <c:pt idx="11">
                  <c:v>120.53457776717556</c:v>
                </c:pt>
                <c:pt idx="12">
                  <c:v>168.3103683168317</c:v>
                </c:pt>
                <c:pt idx="13">
                  <c:v>199.21286653465347</c:v>
                </c:pt>
                <c:pt idx="14">
                  <c:v>249.86251247524751</c:v>
                </c:pt>
                <c:pt idx="15">
                  <c:v>297.14376237623759</c:v>
                </c:pt>
                <c:pt idx="16">
                  <c:v>346.57188118811882</c:v>
                </c:pt>
                <c:pt idx="17">
                  <c:v>395.99999999999989</c:v>
                </c:pt>
                <c:pt idx="18">
                  <c:v>395.99999999999989</c:v>
                </c:pt>
                <c:pt idx="19">
                  <c:v>395.99999999999989</c:v>
                </c:pt>
                <c:pt idx="20">
                  <c:v>395.99999999999989</c:v>
                </c:pt>
                <c:pt idx="21">
                  <c:v>395.99999999999989</c:v>
                </c:pt>
                <c:pt idx="22">
                  <c:v>395.99999999999989</c:v>
                </c:pt>
                <c:pt idx="23">
                  <c:v>395.99999999999989</c:v>
                </c:pt>
                <c:pt idx="24">
                  <c:v>395.99999999999989</c:v>
                </c:pt>
                <c:pt idx="25">
                  <c:v>395.99999999999989</c:v>
                </c:pt>
                <c:pt idx="26">
                  <c:v>395.99999999999989</c:v>
                </c:pt>
                <c:pt idx="27">
                  <c:v>395.99999999999989</c:v>
                </c:pt>
                <c:pt idx="28">
                  <c:v>395.99999999999989</c:v>
                </c:pt>
                <c:pt idx="29">
                  <c:v>395.99999999999989</c:v>
                </c:pt>
                <c:pt idx="30">
                  <c:v>395.99999999999989</c:v>
                </c:pt>
                <c:pt idx="31">
                  <c:v>395.99999999999989</c:v>
                </c:pt>
                <c:pt idx="32">
                  <c:v>395.99999999999989</c:v>
                </c:pt>
                <c:pt idx="33">
                  <c:v>0</c:v>
                </c:pt>
                <c:pt idx="34">
                  <c:v>0</c:v>
                </c:pt>
              </c:numCache>
            </c:numRef>
          </c:val>
          <c:extLst xmlns:c16r2="http://schemas.microsoft.com/office/drawing/2015/06/chart">
            <c:ext xmlns:c16="http://schemas.microsoft.com/office/drawing/2014/chart" uri="{C3380CC4-5D6E-409C-BE32-E72D297353CC}">
              <c16:uniqueId val="{00000003-9031-4B95-AA9A-E704AAD4D420}"/>
            </c:ext>
          </c:extLst>
        </c:ser>
        <c:ser>
          <c:idx val="10"/>
          <c:order val="4"/>
          <c:tx>
            <c:strRef>
              <c:f>Resultaatgrafiek!$K$122</c:f>
              <c:strCache>
                <c:ptCount val="1"/>
                <c:pt idx="0">
                  <c:v>Zon-thermisch</c:v>
                </c:pt>
              </c:strCache>
            </c:strRef>
          </c:tx>
          <c:spPr>
            <a:solidFill>
              <a:srgbClr val="FF9900"/>
            </a:solidFill>
          </c:spPr>
          <c:invertIfNegative val="0"/>
          <c:cat>
            <c:numRef>
              <c:f>Resultaatgrafiek!$A$124:$A$158</c:f>
              <c:numCache>
                <c:formatCode>General</c:formatCode>
                <c:ptCount val="3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numCache>
            </c:numRef>
          </c:cat>
          <c:val>
            <c:numRef>
              <c:f>Resultaatgrafiek!$K$124:$K$158</c:f>
              <c:numCache>
                <c:formatCode>_ * #,##0_ ;_ * \-#,##0_ ;_ * "-"??_ ;_ @_ </c:formatCode>
                <c:ptCount val="35"/>
                <c:pt idx="0">
                  <c:v>0</c:v>
                </c:pt>
                <c:pt idx="1">
                  <c:v>0</c:v>
                </c:pt>
                <c:pt idx="2">
                  <c:v>0</c:v>
                </c:pt>
                <c:pt idx="3">
                  <c:v>0</c:v>
                </c:pt>
                <c:pt idx="4">
                  <c:v>0</c:v>
                </c:pt>
                <c:pt idx="5">
                  <c:v>0</c:v>
                </c:pt>
                <c:pt idx="6">
                  <c:v>0</c:v>
                </c:pt>
                <c:pt idx="7">
                  <c:v>0</c:v>
                </c:pt>
                <c:pt idx="8">
                  <c:v>0</c:v>
                </c:pt>
                <c:pt idx="9">
                  <c:v>0</c:v>
                </c:pt>
                <c:pt idx="10">
                  <c:v>0</c:v>
                </c:pt>
                <c:pt idx="11">
                  <c:v>1.4404761904761905</c:v>
                </c:pt>
                <c:pt idx="12">
                  <c:v>2.8809523809523809</c:v>
                </c:pt>
                <c:pt idx="13">
                  <c:v>4.3214285714285721</c:v>
                </c:pt>
                <c:pt idx="14">
                  <c:v>5.7619047619047619</c:v>
                </c:pt>
                <c:pt idx="15">
                  <c:v>7.2023809523809526</c:v>
                </c:pt>
                <c:pt idx="16">
                  <c:v>8.6428571428571441</c:v>
                </c:pt>
                <c:pt idx="17">
                  <c:v>10.083333333333334</c:v>
                </c:pt>
                <c:pt idx="18">
                  <c:v>10.083333333333334</c:v>
                </c:pt>
                <c:pt idx="19">
                  <c:v>10.083333333333334</c:v>
                </c:pt>
                <c:pt idx="20">
                  <c:v>10.083333333333334</c:v>
                </c:pt>
                <c:pt idx="21">
                  <c:v>10.083333333333334</c:v>
                </c:pt>
                <c:pt idx="22">
                  <c:v>10.083333333333334</c:v>
                </c:pt>
                <c:pt idx="23">
                  <c:v>10.083333333333334</c:v>
                </c:pt>
                <c:pt idx="24">
                  <c:v>10.083333333333334</c:v>
                </c:pt>
                <c:pt idx="25">
                  <c:v>10.083333333333334</c:v>
                </c:pt>
                <c:pt idx="26">
                  <c:v>8.6428571428571441</c:v>
                </c:pt>
                <c:pt idx="27">
                  <c:v>7.2023809523809526</c:v>
                </c:pt>
                <c:pt idx="28">
                  <c:v>5.7619047619047619</c:v>
                </c:pt>
                <c:pt idx="29">
                  <c:v>4.3214285714285721</c:v>
                </c:pt>
                <c:pt idx="30">
                  <c:v>2.8809523809523814</c:v>
                </c:pt>
                <c:pt idx="31">
                  <c:v>1.4404761904761909</c:v>
                </c:pt>
                <c:pt idx="32">
                  <c:v>0</c:v>
                </c:pt>
                <c:pt idx="33">
                  <c:v>0</c:v>
                </c:pt>
                <c:pt idx="34">
                  <c:v>0</c:v>
                </c:pt>
              </c:numCache>
            </c:numRef>
          </c:val>
          <c:extLst xmlns:c16r2="http://schemas.microsoft.com/office/drawing/2015/06/chart">
            <c:ext xmlns:c16="http://schemas.microsoft.com/office/drawing/2014/chart" uri="{C3380CC4-5D6E-409C-BE32-E72D297353CC}">
              <c16:uniqueId val="{00000004-9031-4B95-AA9A-E704AAD4D420}"/>
            </c:ext>
          </c:extLst>
        </c:ser>
        <c:ser>
          <c:idx val="9"/>
          <c:order val="5"/>
          <c:tx>
            <c:strRef>
              <c:f>Resultaatgrafiek!$L$122</c:f>
              <c:strCache>
                <c:ptCount val="1"/>
                <c:pt idx="0">
                  <c:v>Geothermie</c:v>
                </c:pt>
              </c:strCache>
            </c:strRef>
          </c:tx>
          <c:spPr>
            <a:solidFill>
              <a:schemeClr val="accent2">
                <a:lumMod val="40000"/>
                <a:lumOff val="60000"/>
              </a:schemeClr>
            </a:solidFill>
          </c:spPr>
          <c:invertIfNegative val="0"/>
          <c:cat>
            <c:numRef>
              <c:f>Resultaatgrafiek!$A$124:$A$158</c:f>
              <c:numCache>
                <c:formatCode>General</c:formatCode>
                <c:ptCount val="3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numCache>
            </c:numRef>
          </c:cat>
          <c:val>
            <c:numRef>
              <c:f>Resultaatgrafiek!$L$124:$L$158</c:f>
              <c:numCache>
                <c:formatCode>_ * #,##0_ ;_ * \-#,##0_ ;_ * "-"??_ ;_ @_ </c:formatCode>
                <c:ptCount val="35"/>
                <c:pt idx="0">
                  <c:v>0</c:v>
                </c:pt>
                <c:pt idx="1">
                  <c:v>0</c:v>
                </c:pt>
                <c:pt idx="2">
                  <c:v>0</c:v>
                </c:pt>
                <c:pt idx="3">
                  <c:v>0</c:v>
                </c:pt>
                <c:pt idx="4">
                  <c:v>0</c:v>
                </c:pt>
                <c:pt idx="5">
                  <c:v>0</c:v>
                </c:pt>
                <c:pt idx="6">
                  <c:v>0</c:v>
                </c:pt>
                <c:pt idx="7">
                  <c:v>0</c:v>
                </c:pt>
                <c:pt idx="8">
                  <c:v>0</c:v>
                </c:pt>
                <c:pt idx="9">
                  <c:v>0</c:v>
                </c:pt>
                <c:pt idx="10">
                  <c:v>0</c:v>
                </c:pt>
                <c:pt idx="11">
                  <c:v>9.8214285714285694</c:v>
                </c:pt>
                <c:pt idx="12">
                  <c:v>19.642857142857139</c:v>
                </c:pt>
                <c:pt idx="13">
                  <c:v>29.464285714285708</c:v>
                </c:pt>
                <c:pt idx="14">
                  <c:v>39.285714285714278</c:v>
                </c:pt>
                <c:pt idx="15">
                  <c:v>49.107142857142854</c:v>
                </c:pt>
                <c:pt idx="16">
                  <c:v>58.928571428571416</c:v>
                </c:pt>
                <c:pt idx="17">
                  <c:v>68.749999999999986</c:v>
                </c:pt>
                <c:pt idx="18">
                  <c:v>68.749999999999986</c:v>
                </c:pt>
                <c:pt idx="19">
                  <c:v>68.749999999999986</c:v>
                </c:pt>
                <c:pt idx="20">
                  <c:v>68.749999999999986</c:v>
                </c:pt>
                <c:pt idx="21">
                  <c:v>68.749999999999986</c:v>
                </c:pt>
                <c:pt idx="22">
                  <c:v>68.749999999999986</c:v>
                </c:pt>
                <c:pt idx="23">
                  <c:v>68.749999999999986</c:v>
                </c:pt>
                <c:pt idx="24">
                  <c:v>68.749999999999986</c:v>
                </c:pt>
                <c:pt idx="25">
                  <c:v>68.749999999999986</c:v>
                </c:pt>
                <c:pt idx="26">
                  <c:v>58.928571428571416</c:v>
                </c:pt>
                <c:pt idx="27">
                  <c:v>49.107142857142854</c:v>
                </c:pt>
                <c:pt idx="28">
                  <c:v>39.285714285714285</c:v>
                </c:pt>
                <c:pt idx="29">
                  <c:v>29.464285714285715</c:v>
                </c:pt>
                <c:pt idx="30">
                  <c:v>19.642857142857149</c:v>
                </c:pt>
                <c:pt idx="31">
                  <c:v>9.8214285714285783</c:v>
                </c:pt>
                <c:pt idx="32">
                  <c:v>0</c:v>
                </c:pt>
                <c:pt idx="33">
                  <c:v>0</c:v>
                </c:pt>
                <c:pt idx="34">
                  <c:v>0</c:v>
                </c:pt>
              </c:numCache>
            </c:numRef>
          </c:val>
          <c:extLst xmlns:c16r2="http://schemas.microsoft.com/office/drawing/2015/06/chart">
            <c:ext xmlns:c16="http://schemas.microsoft.com/office/drawing/2014/chart" uri="{C3380CC4-5D6E-409C-BE32-E72D297353CC}">
              <c16:uniqueId val="{00000005-9031-4B95-AA9A-E704AAD4D420}"/>
            </c:ext>
          </c:extLst>
        </c:ser>
        <c:ser>
          <c:idx val="7"/>
          <c:order val="6"/>
          <c:tx>
            <c:strRef>
              <c:f>Resultaatgrafiek!$M$122</c:f>
              <c:strCache>
                <c:ptCount val="1"/>
                <c:pt idx="0">
                  <c:v>WKO + warmtepompen</c:v>
                </c:pt>
              </c:strCache>
            </c:strRef>
          </c:tx>
          <c:spPr>
            <a:solidFill>
              <a:srgbClr val="CC706E"/>
            </a:solidFill>
          </c:spPr>
          <c:invertIfNegative val="0"/>
          <c:cat>
            <c:numRef>
              <c:f>Resultaatgrafiek!$A$124:$A$158</c:f>
              <c:numCache>
                <c:formatCode>General</c:formatCode>
                <c:ptCount val="3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numCache>
            </c:numRef>
          </c:cat>
          <c:val>
            <c:numRef>
              <c:f>Resultaatgrafiek!$M$124:$M$158</c:f>
              <c:numCache>
                <c:formatCode>_ * #,##0_ ;_ * \-#,##0_ ;_ * "-"??_ ;_ @_ </c:formatCode>
                <c:ptCount val="35"/>
                <c:pt idx="0">
                  <c:v>0</c:v>
                </c:pt>
                <c:pt idx="1">
                  <c:v>0</c:v>
                </c:pt>
                <c:pt idx="2">
                  <c:v>0</c:v>
                </c:pt>
                <c:pt idx="3">
                  <c:v>0</c:v>
                </c:pt>
                <c:pt idx="4">
                  <c:v>0</c:v>
                </c:pt>
                <c:pt idx="5">
                  <c:v>0</c:v>
                </c:pt>
                <c:pt idx="6">
                  <c:v>0</c:v>
                </c:pt>
                <c:pt idx="7">
                  <c:v>0</c:v>
                </c:pt>
                <c:pt idx="8">
                  <c:v>0</c:v>
                </c:pt>
                <c:pt idx="9">
                  <c:v>0</c:v>
                </c:pt>
                <c:pt idx="10">
                  <c:v>0</c:v>
                </c:pt>
                <c:pt idx="11">
                  <c:v>3.1746031746031744</c:v>
                </c:pt>
                <c:pt idx="12">
                  <c:v>6.3492063492063489</c:v>
                </c:pt>
                <c:pt idx="13">
                  <c:v>9.5238095238095237</c:v>
                </c:pt>
                <c:pt idx="14">
                  <c:v>12.698412698412698</c:v>
                </c:pt>
                <c:pt idx="15">
                  <c:v>15.873015873015872</c:v>
                </c:pt>
                <c:pt idx="16">
                  <c:v>19.047619047619044</c:v>
                </c:pt>
                <c:pt idx="17">
                  <c:v>22.222222222222225</c:v>
                </c:pt>
                <c:pt idx="18">
                  <c:v>22.222222222222225</c:v>
                </c:pt>
                <c:pt idx="19">
                  <c:v>22.222222222222225</c:v>
                </c:pt>
                <c:pt idx="20">
                  <c:v>22.222222222222225</c:v>
                </c:pt>
                <c:pt idx="21">
                  <c:v>22.222222222222225</c:v>
                </c:pt>
                <c:pt idx="22">
                  <c:v>22.222222222222225</c:v>
                </c:pt>
                <c:pt idx="23">
                  <c:v>22.222222222222225</c:v>
                </c:pt>
                <c:pt idx="24">
                  <c:v>22.222222222222225</c:v>
                </c:pt>
                <c:pt idx="25">
                  <c:v>22.222222222222225</c:v>
                </c:pt>
                <c:pt idx="26">
                  <c:v>19.047619047619051</c:v>
                </c:pt>
                <c:pt idx="27">
                  <c:v>15.873015873015877</c:v>
                </c:pt>
                <c:pt idx="28">
                  <c:v>12.698412698412703</c:v>
                </c:pt>
                <c:pt idx="29">
                  <c:v>9.5238095238095291</c:v>
                </c:pt>
                <c:pt idx="30">
                  <c:v>6.3492063492063542</c:v>
                </c:pt>
                <c:pt idx="31">
                  <c:v>3.1746031746031798</c:v>
                </c:pt>
                <c:pt idx="32">
                  <c:v>4.9343245538895852E-15</c:v>
                </c:pt>
                <c:pt idx="33">
                  <c:v>0</c:v>
                </c:pt>
                <c:pt idx="34">
                  <c:v>0</c:v>
                </c:pt>
              </c:numCache>
            </c:numRef>
          </c:val>
          <c:extLst xmlns:c16r2="http://schemas.microsoft.com/office/drawing/2015/06/chart">
            <c:ext xmlns:c16="http://schemas.microsoft.com/office/drawing/2014/chart" uri="{C3380CC4-5D6E-409C-BE32-E72D297353CC}">
              <c16:uniqueId val="{00000006-9031-4B95-AA9A-E704AAD4D420}"/>
            </c:ext>
          </c:extLst>
        </c:ser>
        <c:ser>
          <c:idx val="5"/>
          <c:order val="7"/>
          <c:tx>
            <c:strRef>
              <c:f>Resultaatgrafiek!$N$122</c:f>
              <c:strCache>
                <c:ptCount val="1"/>
                <c:pt idx="0">
                  <c:v>Biomassa - tbv elektriciteit</c:v>
                </c:pt>
              </c:strCache>
            </c:strRef>
          </c:tx>
          <c:spPr>
            <a:solidFill>
              <a:srgbClr val="CDE1AF"/>
            </a:solidFill>
          </c:spPr>
          <c:invertIfNegative val="0"/>
          <c:cat>
            <c:numRef>
              <c:f>Resultaatgrafiek!$A$124:$A$158</c:f>
              <c:numCache>
                <c:formatCode>General</c:formatCode>
                <c:ptCount val="3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numCache>
            </c:numRef>
          </c:cat>
          <c:val>
            <c:numRef>
              <c:f>Resultaatgrafiek!$N$124:$N$158</c:f>
              <c:numCache>
                <c:formatCode>_ * #,##0_ ;_ * \-#,##0_ ;_ * "-"??_ ;_ @_ </c:formatCode>
                <c:ptCount val="35"/>
                <c:pt idx="0">
                  <c:v>265.17290322580646</c:v>
                </c:pt>
                <c:pt idx="1">
                  <c:v>298.31951612903225</c:v>
                </c:pt>
                <c:pt idx="2">
                  <c:v>298.31951612903225</c:v>
                </c:pt>
                <c:pt idx="3">
                  <c:v>298.31951612903225</c:v>
                </c:pt>
                <c:pt idx="4">
                  <c:v>338.68546132258069</c:v>
                </c:pt>
                <c:pt idx="5">
                  <c:v>383.23119440322586</c:v>
                </c:pt>
                <c:pt idx="6">
                  <c:v>482.67103311290327</c:v>
                </c:pt>
                <c:pt idx="7">
                  <c:v>499.24433956451617</c:v>
                </c:pt>
                <c:pt idx="8">
                  <c:v>515.81764601612906</c:v>
                </c:pt>
                <c:pt idx="9">
                  <c:v>515.81764601612906</c:v>
                </c:pt>
                <c:pt idx="10">
                  <c:v>449.52442020967749</c:v>
                </c:pt>
                <c:pt idx="11">
                  <c:v>363.34322666129037</c:v>
                </c:pt>
                <c:pt idx="12">
                  <c:v>436.96206178673839</c:v>
                </c:pt>
                <c:pt idx="13">
                  <c:v>663.0553162670252</c:v>
                </c:pt>
                <c:pt idx="14">
                  <c:v>646.58828684408604</c:v>
                </c:pt>
                <c:pt idx="15">
                  <c:v>1136.3581362007171</c:v>
                </c:pt>
                <c:pt idx="16">
                  <c:v>1176.8303584229393</c:v>
                </c:pt>
                <c:pt idx="17">
                  <c:v>1190.7852903225807</c:v>
                </c:pt>
                <c:pt idx="18">
                  <c:v>1084.7161290322581</c:v>
                </c:pt>
                <c:pt idx="19">
                  <c:v>1084.7161290322581</c:v>
                </c:pt>
                <c:pt idx="20">
                  <c:v>1068.1428225806453</c:v>
                </c:pt>
                <c:pt idx="21">
                  <c:v>1051.5695161290323</c:v>
                </c:pt>
                <c:pt idx="22">
                  <c:v>1034.9962096774195</c:v>
                </c:pt>
                <c:pt idx="23">
                  <c:v>508.00623655913984</c:v>
                </c:pt>
                <c:pt idx="24">
                  <c:v>491.43293010752694</c:v>
                </c:pt>
                <c:pt idx="25">
                  <c:v>474.85962365591405</c:v>
                </c:pt>
                <c:pt idx="26">
                  <c:v>441.71301075268821</c:v>
                </c:pt>
                <c:pt idx="27">
                  <c:v>375.41978494623663</c:v>
                </c:pt>
                <c:pt idx="28">
                  <c:v>264.67674336917571</c:v>
                </c:pt>
                <c:pt idx="29">
                  <c:v>161.88888888888894</c:v>
                </c:pt>
                <c:pt idx="30">
                  <c:v>121.41666666666671</c:v>
                </c:pt>
                <c:pt idx="31">
                  <c:v>80.9444444444445</c:v>
                </c:pt>
                <c:pt idx="32">
                  <c:v>0</c:v>
                </c:pt>
                <c:pt idx="33">
                  <c:v>0</c:v>
                </c:pt>
                <c:pt idx="34">
                  <c:v>0</c:v>
                </c:pt>
              </c:numCache>
            </c:numRef>
          </c:val>
          <c:extLst xmlns:c16r2="http://schemas.microsoft.com/office/drawing/2015/06/chart">
            <c:ext xmlns:c16="http://schemas.microsoft.com/office/drawing/2014/chart" uri="{C3380CC4-5D6E-409C-BE32-E72D297353CC}">
              <c16:uniqueId val="{00000007-9031-4B95-AA9A-E704AAD4D420}"/>
            </c:ext>
          </c:extLst>
        </c:ser>
        <c:ser>
          <c:idx val="4"/>
          <c:order val="8"/>
          <c:tx>
            <c:strRef>
              <c:f>Resultaatgrafiek!$O$122</c:f>
              <c:strCache>
                <c:ptCount val="1"/>
                <c:pt idx="0">
                  <c:v>Biomassa - tbv warmte</c:v>
                </c:pt>
              </c:strCache>
            </c:strRef>
          </c:tx>
          <c:spPr>
            <a:solidFill>
              <a:srgbClr val="B4CD82"/>
            </a:solidFill>
          </c:spPr>
          <c:invertIfNegative val="0"/>
          <c:cat>
            <c:numRef>
              <c:f>Resultaatgrafiek!$A$124:$A$158</c:f>
              <c:numCache>
                <c:formatCode>General</c:formatCode>
                <c:ptCount val="3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numCache>
            </c:numRef>
          </c:cat>
          <c:val>
            <c:numRef>
              <c:f>Resultaatgrafiek!$O$124:$O$158</c:f>
              <c:numCache>
                <c:formatCode>_ * #,##0_ ;_ * \-#,##0_ ;_ * "-"??_ ;_ @_ </c:formatCode>
                <c:ptCount val="35"/>
                <c:pt idx="0">
                  <c:v>0</c:v>
                </c:pt>
                <c:pt idx="1">
                  <c:v>0</c:v>
                </c:pt>
                <c:pt idx="2">
                  <c:v>0</c:v>
                </c:pt>
                <c:pt idx="3">
                  <c:v>0</c:v>
                </c:pt>
                <c:pt idx="4">
                  <c:v>0</c:v>
                </c:pt>
                <c:pt idx="5">
                  <c:v>0</c:v>
                </c:pt>
                <c:pt idx="6">
                  <c:v>0</c:v>
                </c:pt>
                <c:pt idx="7">
                  <c:v>0</c:v>
                </c:pt>
                <c:pt idx="8">
                  <c:v>0</c:v>
                </c:pt>
                <c:pt idx="9">
                  <c:v>0</c:v>
                </c:pt>
                <c:pt idx="10">
                  <c:v>0</c:v>
                </c:pt>
                <c:pt idx="11">
                  <c:v>43.923571428571421</c:v>
                </c:pt>
                <c:pt idx="12">
                  <c:v>87.847142857142842</c:v>
                </c:pt>
                <c:pt idx="13">
                  <c:v>131.77071428571426</c:v>
                </c:pt>
                <c:pt idx="14">
                  <c:v>175.69428571428568</c:v>
                </c:pt>
                <c:pt idx="15">
                  <c:v>219.61785714285708</c:v>
                </c:pt>
                <c:pt idx="16">
                  <c:v>263.54142857142853</c:v>
                </c:pt>
                <c:pt idx="17">
                  <c:v>307.46499999999997</c:v>
                </c:pt>
                <c:pt idx="18">
                  <c:v>307.46499999999997</c:v>
                </c:pt>
                <c:pt idx="19">
                  <c:v>307.46499999999997</c:v>
                </c:pt>
                <c:pt idx="20">
                  <c:v>307.46499999999997</c:v>
                </c:pt>
                <c:pt idx="21">
                  <c:v>307.46499999999997</c:v>
                </c:pt>
                <c:pt idx="22">
                  <c:v>307.46499999999997</c:v>
                </c:pt>
                <c:pt idx="23">
                  <c:v>307.46499999999997</c:v>
                </c:pt>
                <c:pt idx="24">
                  <c:v>307.46499999999997</c:v>
                </c:pt>
                <c:pt idx="25">
                  <c:v>307.46499999999997</c:v>
                </c:pt>
                <c:pt idx="26">
                  <c:v>307.46499999999997</c:v>
                </c:pt>
                <c:pt idx="27">
                  <c:v>307.46499999999997</c:v>
                </c:pt>
                <c:pt idx="28">
                  <c:v>203.29833333333332</c:v>
                </c:pt>
                <c:pt idx="29">
                  <c:v>99.131666666666618</c:v>
                </c:pt>
                <c:pt idx="30">
                  <c:v>-5.0350000000000783</c:v>
                </c:pt>
                <c:pt idx="31">
                  <c:v>0</c:v>
                </c:pt>
                <c:pt idx="32">
                  <c:v>0</c:v>
                </c:pt>
                <c:pt idx="33">
                  <c:v>0</c:v>
                </c:pt>
                <c:pt idx="34">
                  <c:v>0</c:v>
                </c:pt>
              </c:numCache>
            </c:numRef>
          </c:val>
          <c:extLst xmlns:c16r2="http://schemas.microsoft.com/office/drawing/2015/06/chart">
            <c:ext xmlns:c16="http://schemas.microsoft.com/office/drawing/2014/chart" uri="{C3380CC4-5D6E-409C-BE32-E72D297353CC}">
              <c16:uniqueId val="{00000008-9031-4B95-AA9A-E704AAD4D420}"/>
            </c:ext>
          </c:extLst>
        </c:ser>
        <c:ser>
          <c:idx val="3"/>
          <c:order val="9"/>
          <c:tx>
            <c:strRef>
              <c:f>Resultaatgrafiek!$P$122</c:f>
              <c:strCache>
                <c:ptCount val="1"/>
                <c:pt idx="0">
                  <c:v>Biobrandstof bijmengen - tbv vervoer</c:v>
                </c:pt>
              </c:strCache>
            </c:strRef>
          </c:tx>
          <c:spPr>
            <a:solidFill>
              <a:srgbClr val="88A945"/>
            </a:solidFill>
          </c:spPr>
          <c:invertIfNegative val="0"/>
          <c:cat>
            <c:numRef>
              <c:f>Resultaatgrafiek!$A$124:$A$158</c:f>
              <c:numCache>
                <c:formatCode>General</c:formatCode>
                <c:ptCount val="3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numCache>
            </c:numRef>
          </c:cat>
          <c:val>
            <c:numRef>
              <c:f>Resultaatgrafiek!$P$124:$P$158</c:f>
              <c:numCache>
                <c:formatCode>_ * #,##0_ ;_ * \-#,##0_ ;_ * "-"??_ ;_ @_ </c:formatCode>
                <c:ptCount val="35"/>
                <c:pt idx="0">
                  <c:v>0</c:v>
                </c:pt>
                <c:pt idx="1">
                  <c:v>0</c:v>
                </c:pt>
                <c:pt idx="2">
                  <c:v>0</c:v>
                </c:pt>
                <c:pt idx="3">
                  <c:v>0</c:v>
                </c:pt>
                <c:pt idx="4">
                  <c:v>0</c:v>
                </c:pt>
                <c:pt idx="5">
                  <c:v>0.88467973581047943</c:v>
                </c:pt>
                <c:pt idx="6">
                  <c:v>42.906967186808274</c:v>
                </c:pt>
                <c:pt idx="7">
                  <c:v>84.929254637806068</c:v>
                </c:pt>
                <c:pt idx="8">
                  <c:v>101.73816961820518</c:v>
                </c:pt>
                <c:pt idx="9">
                  <c:v>118.5470845986043</c:v>
                </c:pt>
                <c:pt idx="10">
                  <c:v>114.12368591955192</c:v>
                </c:pt>
                <c:pt idx="11">
                  <c:v>131.81728063576148</c:v>
                </c:pt>
                <c:pt idx="12">
                  <c:v>117.66240486279378</c:v>
                </c:pt>
                <c:pt idx="13">
                  <c:v>131.81728063576148</c:v>
                </c:pt>
                <c:pt idx="14">
                  <c:v>175.16658769047496</c:v>
                </c:pt>
                <c:pt idx="15">
                  <c:v>218.51589474518852</c:v>
                </c:pt>
                <c:pt idx="16">
                  <c:v>261.86520179990202</c:v>
                </c:pt>
                <c:pt idx="17">
                  <c:v>305.21450885461547</c:v>
                </c:pt>
                <c:pt idx="18">
                  <c:v>304.32982911880504</c:v>
                </c:pt>
                <c:pt idx="19">
                  <c:v>303.44514938299443</c:v>
                </c:pt>
                <c:pt idx="20">
                  <c:v>302.56046964718394</c:v>
                </c:pt>
                <c:pt idx="21">
                  <c:v>300.91749299496473</c:v>
                </c:pt>
                <c:pt idx="22">
                  <c:v>299.2745163427453</c:v>
                </c:pt>
                <c:pt idx="23">
                  <c:v>297.63153969052576</c:v>
                </c:pt>
                <c:pt idx="24">
                  <c:v>295.98856303830632</c:v>
                </c:pt>
                <c:pt idx="25">
                  <c:v>294.34558638608701</c:v>
                </c:pt>
                <c:pt idx="26">
                  <c:v>292.70260973386758</c:v>
                </c:pt>
                <c:pt idx="27">
                  <c:v>291.05963308164775</c:v>
                </c:pt>
                <c:pt idx="28">
                  <c:v>291.05963308164775</c:v>
                </c:pt>
                <c:pt idx="29">
                  <c:v>291.05963308164775</c:v>
                </c:pt>
                <c:pt idx="30">
                  <c:v>291.05963308164775</c:v>
                </c:pt>
                <c:pt idx="31">
                  <c:v>291.05963308164775</c:v>
                </c:pt>
                <c:pt idx="32">
                  <c:v>291.05963308164775</c:v>
                </c:pt>
                <c:pt idx="33">
                  <c:v>0</c:v>
                </c:pt>
                <c:pt idx="34">
                  <c:v>0</c:v>
                </c:pt>
              </c:numCache>
            </c:numRef>
          </c:val>
          <c:extLst xmlns:c16r2="http://schemas.microsoft.com/office/drawing/2015/06/chart">
            <c:ext xmlns:c16="http://schemas.microsoft.com/office/drawing/2014/chart" uri="{C3380CC4-5D6E-409C-BE32-E72D297353CC}">
              <c16:uniqueId val="{00000009-9031-4B95-AA9A-E704AAD4D420}"/>
            </c:ext>
          </c:extLst>
        </c:ser>
        <c:ser>
          <c:idx val="0"/>
          <c:order val="10"/>
          <c:tx>
            <c:strRef>
              <c:f>Resultaatgrafiek!$Q$122</c:f>
              <c:strCache>
                <c:ptCount val="1"/>
                <c:pt idx="0">
                  <c:v>Schone voertuigen</c:v>
                </c:pt>
              </c:strCache>
            </c:strRef>
          </c:tx>
          <c:spPr>
            <a:solidFill>
              <a:srgbClr val="CAC4A2"/>
            </a:solidFill>
          </c:spPr>
          <c:invertIfNegative val="0"/>
          <c:cat>
            <c:numRef>
              <c:f>Resultaatgrafiek!$A$124:$A$158</c:f>
              <c:numCache>
                <c:formatCode>General</c:formatCode>
                <c:ptCount val="3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numCache>
            </c:numRef>
          </c:cat>
          <c:val>
            <c:numRef>
              <c:f>Resultaatgrafiek!$Q$124:$Q$156</c:f>
              <c:numCache>
                <c:formatCode>_ * #,##0_ ;_ * \-#,##0_ ;_ * "-"??_ ;_ @_ </c:formatCode>
                <c:ptCount val="33"/>
                <c:pt idx="0">
                  <c:v>0</c:v>
                </c:pt>
                <c:pt idx="1">
                  <c:v>0</c:v>
                </c:pt>
                <c:pt idx="2">
                  <c:v>0</c:v>
                </c:pt>
                <c:pt idx="3">
                  <c:v>0</c:v>
                </c:pt>
                <c:pt idx="4">
                  <c:v>0</c:v>
                </c:pt>
                <c:pt idx="5">
                  <c:v>55</c:v>
                </c:pt>
                <c:pt idx="6">
                  <c:v>364</c:v>
                </c:pt>
                <c:pt idx="7">
                  <c:v>719</c:v>
                </c:pt>
                <c:pt idx="8">
                  <c:v>1177</c:v>
                </c:pt>
                <c:pt idx="9">
                  <c:v>1425</c:v>
                </c:pt>
                <c:pt idx="10">
                  <c:v>1535</c:v>
                </c:pt>
                <c:pt idx="11">
                  <c:v>662.46</c:v>
                </c:pt>
                <c:pt idx="12">
                  <c:v>203.26499999999999</c:v>
                </c:pt>
                <c:pt idx="13">
                  <c:v>170.95500000000001</c:v>
                </c:pt>
                <c:pt idx="14">
                  <c:v>315</c:v>
                </c:pt>
                <c:pt idx="15">
                  <c:v>315</c:v>
                </c:pt>
                <c:pt idx="16">
                  <c:v>315</c:v>
                </c:pt>
                <c:pt idx="17">
                  <c:v>315</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xmlns:c16r2="http://schemas.microsoft.com/office/drawing/2015/06/chart">
            <c:ext xmlns:c16="http://schemas.microsoft.com/office/drawing/2014/chart" uri="{C3380CC4-5D6E-409C-BE32-E72D297353CC}">
              <c16:uniqueId val="{0000000A-9031-4B95-AA9A-E704AAD4D420}"/>
            </c:ext>
          </c:extLst>
        </c:ser>
        <c:ser>
          <c:idx val="1"/>
          <c:order val="11"/>
          <c:tx>
            <c:strRef>
              <c:f>Resultaatgrafiek!$R$122</c:f>
              <c:strCache>
                <c:ptCount val="1"/>
                <c:pt idx="0">
                  <c:v>Energienetwerk uitbreiden</c:v>
                </c:pt>
              </c:strCache>
            </c:strRef>
          </c:tx>
          <c:spPr>
            <a:solidFill>
              <a:srgbClr val="B9AF82"/>
            </a:solidFill>
          </c:spPr>
          <c:invertIfNegative val="0"/>
          <c:cat>
            <c:numRef>
              <c:f>Resultaatgrafiek!$A$124:$A$158</c:f>
              <c:numCache>
                <c:formatCode>General</c:formatCode>
                <c:ptCount val="3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numCache>
            </c:numRef>
          </c:cat>
          <c:val>
            <c:numRef>
              <c:f>Resultaatgrafiek!$R$124:$R$156</c:f>
              <c:numCache>
                <c:formatCode>_ * #,##0_ ;_ * \-#,##0_ ;_ * "-"??_ ;_ @_ </c:formatCode>
                <c:ptCount val="33"/>
                <c:pt idx="0">
                  <c:v>0</c:v>
                </c:pt>
                <c:pt idx="1">
                  <c:v>0</c:v>
                </c:pt>
                <c:pt idx="2">
                  <c:v>0</c:v>
                </c:pt>
                <c:pt idx="3">
                  <c:v>0</c:v>
                </c:pt>
                <c:pt idx="4">
                  <c:v>0</c:v>
                </c:pt>
                <c:pt idx="5">
                  <c:v>0</c:v>
                </c:pt>
                <c:pt idx="6">
                  <c:v>0</c:v>
                </c:pt>
                <c:pt idx="7">
                  <c:v>0</c:v>
                </c:pt>
                <c:pt idx="8">
                  <c:v>0</c:v>
                </c:pt>
                <c:pt idx="9">
                  <c:v>0</c:v>
                </c:pt>
                <c:pt idx="10">
                  <c:v>827.66899999999998</c:v>
                </c:pt>
                <c:pt idx="11">
                  <c:v>835.90359999999998</c:v>
                </c:pt>
                <c:pt idx="12">
                  <c:v>871.36236874999997</c:v>
                </c:pt>
                <c:pt idx="13">
                  <c:v>915.89421874999994</c:v>
                </c:pt>
                <c:pt idx="14">
                  <c:v>1613.68748125</c:v>
                </c:pt>
                <c:pt idx="15">
                  <c:v>1653.8582437499999</c:v>
                </c:pt>
                <c:pt idx="16">
                  <c:v>1694.0290062500001</c:v>
                </c:pt>
                <c:pt idx="17">
                  <c:v>1866.7315187499999</c:v>
                </c:pt>
                <c:pt idx="18">
                  <c:v>1121.8419187499999</c:v>
                </c:pt>
                <c:pt idx="19">
                  <c:v>589.45231875000013</c:v>
                </c:pt>
                <c:pt idx="20">
                  <c:v>657.06271875000004</c:v>
                </c:pt>
                <c:pt idx="21">
                  <c:v>657.06271875000004</c:v>
                </c:pt>
                <c:pt idx="22">
                  <c:v>657.06271875000004</c:v>
                </c:pt>
                <c:pt idx="23">
                  <c:v>657.06271875000004</c:v>
                </c:pt>
                <c:pt idx="24">
                  <c:v>657.06271875000004</c:v>
                </c:pt>
                <c:pt idx="25">
                  <c:v>641.89371875000006</c:v>
                </c:pt>
                <c:pt idx="26">
                  <c:v>633.65911874999995</c:v>
                </c:pt>
                <c:pt idx="27">
                  <c:v>598.20034999999996</c:v>
                </c:pt>
                <c:pt idx="28">
                  <c:v>553.66849999999999</c:v>
                </c:pt>
                <c:pt idx="29">
                  <c:v>455.87523750000003</c:v>
                </c:pt>
                <c:pt idx="30">
                  <c:v>415.704475</c:v>
                </c:pt>
                <c:pt idx="31">
                  <c:v>375.53371249999998</c:v>
                </c:pt>
                <c:pt idx="32">
                  <c:v>202.83120000000002</c:v>
                </c:pt>
              </c:numCache>
            </c:numRef>
          </c:val>
          <c:extLst xmlns:c16r2="http://schemas.microsoft.com/office/drawing/2015/06/chart">
            <c:ext xmlns:c16="http://schemas.microsoft.com/office/drawing/2014/chart" uri="{C3380CC4-5D6E-409C-BE32-E72D297353CC}">
              <c16:uniqueId val="{0000000B-9031-4B95-AA9A-E704AAD4D420}"/>
            </c:ext>
          </c:extLst>
        </c:ser>
        <c:ser>
          <c:idx val="8"/>
          <c:order val="12"/>
          <c:tx>
            <c:strRef>
              <c:f>Resultaatgrafiek!$S$122</c:f>
              <c:strCache>
                <c:ptCount val="1"/>
                <c:pt idx="0">
                  <c:v>Energiebesparing</c:v>
                </c:pt>
              </c:strCache>
            </c:strRef>
          </c:tx>
          <c:spPr>
            <a:solidFill>
              <a:schemeClr val="accent4">
                <a:lumMod val="40000"/>
                <a:lumOff val="60000"/>
              </a:schemeClr>
            </a:solidFill>
          </c:spPr>
          <c:invertIfNegative val="0"/>
          <c:cat>
            <c:numRef>
              <c:f>Resultaatgrafiek!$A$124:$A$158</c:f>
              <c:numCache>
                <c:formatCode>General</c:formatCode>
                <c:ptCount val="3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numCache>
            </c:numRef>
          </c:cat>
          <c:val>
            <c:numRef>
              <c:f>Resultaatgrafiek!$S$124:$S$156</c:f>
              <c:numCache>
                <c:formatCode>_ * #,##0_ ;_ * \-#,##0_ ;_ * "-"??_ ;_ @_ </c:formatCode>
                <c:ptCount val="33"/>
                <c:pt idx="0">
                  <c:v>150</c:v>
                </c:pt>
                <c:pt idx="1">
                  <c:v>167.1930242207701</c:v>
                </c:pt>
                <c:pt idx="2">
                  <c:v>187.10716380936614</c:v>
                </c:pt>
                <c:pt idx="3">
                  <c:v>206.89737935247089</c:v>
                </c:pt>
                <c:pt idx="4">
                  <c:v>228.11465982073122</c:v>
                </c:pt>
                <c:pt idx="5">
                  <c:v>249.0660450069181</c:v>
                </c:pt>
                <c:pt idx="6">
                  <c:v>270.75977131997979</c:v>
                </c:pt>
                <c:pt idx="7">
                  <c:v>294.6299888786113</c:v>
                </c:pt>
                <c:pt idx="8">
                  <c:v>316.42344263281268</c:v>
                </c:pt>
                <c:pt idx="9">
                  <c:v>340.38162353765051</c:v>
                </c:pt>
                <c:pt idx="10">
                  <c:v>418.45764756316646</c:v>
                </c:pt>
                <c:pt idx="11">
                  <c:v>445.9701919034697</c:v>
                </c:pt>
                <c:pt idx="12">
                  <c:v>496.24715972856717</c:v>
                </c:pt>
                <c:pt idx="13">
                  <c:v>599.86006341878078</c:v>
                </c:pt>
                <c:pt idx="14">
                  <c:v>623.23392152261226</c:v>
                </c:pt>
                <c:pt idx="15">
                  <c:v>654.09889871168252</c:v>
                </c:pt>
                <c:pt idx="16">
                  <c:v>684.96387590075267</c:v>
                </c:pt>
                <c:pt idx="17">
                  <c:v>715.82885308982304</c:v>
                </c:pt>
                <c:pt idx="18">
                  <c:v>567.91558027889334</c:v>
                </c:pt>
                <c:pt idx="19">
                  <c:v>567.91558027889334</c:v>
                </c:pt>
                <c:pt idx="20">
                  <c:v>567.91558027889334</c:v>
                </c:pt>
                <c:pt idx="21">
                  <c:v>567.91558027889334</c:v>
                </c:pt>
                <c:pt idx="22">
                  <c:v>567.91558027889334</c:v>
                </c:pt>
                <c:pt idx="23">
                  <c:v>567.91558027889334</c:v>
                </c:pt>
                <c:pt idx="24">
                  <c:v>567.91558027889334</c:v>
                </c:pt>
                <c:pt idx="25">
                  <c:v>567.91558027889334</c:v>
                </c:pt>
                <c:pt idx="26">
                  <c:v>567.91558027889334</c:v>
                </c:pt>
                <c:pt idx="27">
                  <c:v>567.91558027889334</c:v>
                </c:pt>
                <c:pt idx="28">
                  <c:v>567.91558027889334</c:v>
                </c:pt>
                <c:pt idx="29">
                  <c:v>567.91558027889334</c:v>
                </c:pt>
                <c:pt idx="30">
                  <c:v>567.91558027889334</c:v>
                </c:pt>
                <c:pt idx="31">
                  <c:v>567.91558027889334</c:v>
                </c:pt>
                <c:pt idx="32">
                  <c:v>567.91558027889334</c:v>
                </c:pt>
              </c:numCache>
            </c:numRef>
          </c:val>
          <c:extLst xmlns:c16r2="http://schemas.microsoft.com/office/drawing/2015/06/chart">
            <c:ext xmlns:c16="http://schemas.microsoft.com/office/drawing/2014/chart" uri="{C3380CC4-5D6E-409C-BE32-E72D297353CC}">
              <c16:uniqueId val="{0000000C-9031-4B95-AA9A-E704AAD4D420}"/>
            </c:ext>
          </c:extLst>
        </c:ser>
        <c:ser>
          <c:idx val="17"/>
          <c:order val="13"/>
          <c:tx>
            <c:strRef>
              <c:f>Resultaatgrafiek!$T$122</c:f>
              <c:strCache>
                <c:ptCount val="1"/>
                <c:pt idx="0">
                  <c:v>Overig i.e. CCS, emissiehandel en innovatie</c:v>
                </c:pt>
              </c:strCache>
            </c:strRef>
          </c:tx>
          <c:spPr>
            <a:solidFill>
              <a:schemeClr val="accent4">
                <a:lumMod val="60000"/>
                <a:lumOff val="40000"/>
              </a:schemeClr>
            </a:solidFill>
          </c:spPr>
          <c:invertIfNegative val="0"/>
          <c:cat>
            <c:numRef>
              <c:f>Resultaatgrafiek!$A$124:$A$158</c:f>
              <c:numCache>
                <c:formatCode>General</c:formatCode>
                <c:ptCount val="3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numCache>
            </c:numRef>
          </c:cat>
          <c:val>
            <c:numRef>
              <c:f>Resultaatgrafiek!$T$124:$T$156</c:f>
              <c:numCache>
                <c:formatCode>_ * #,##0_ ;_ * \-#,##0_ ;_ * "-"??_ ;_ @_ </c:formatCode>
                <c:ptCount val="33"/>
                <c:pt idx="0">
                  <c:v>0</c:v>
                </c:pt>
                <c:pt idx="1">
                  <c:v>0</c:v>
                </c:pt>
                <c:pt idx="2">
                  <c:v>0</c:v>
                </c:pt>
                <c:pt idx="3">
                  <c:v>0</c:v>
                </c:pt>
                <c:pt idx="4">
                  <c:v>0</c:v>
                </c:pt>
                <c:pt idx="5">
                  <c:v>0</c:v>
                </c:pt>
                <c:pt idx="6">
                  <c:v>0</c:v>
                </c:pt>
                <c:pt idx="7">
                  <c:v>0</c:v>
                </c:pt>
                <c:pt idx="8">
                  <c:v>0</c:v>
                </c:pt>
                <c:pt idx="9">
                  <c:v>0</c:v>
                </c:pt>
                <c:pt idx="10">
                  <c:v>229.23974999999973</c:v>
                </c:pt>
                <c:pt idx="11">
                  <c:v>229.23974999999973</c:v>
                </c:pt>
                <c:pt idx="12">
                  <c:v>229.23974999999973</c:v>
                </c:pt>
                <c:pt idx="13">
                  <c:v>229.23974999999973</c:v>
                </c:pt>
                <c:pt idx="14">
                  <c:v>229.23974999999973</c:v>
                </c:pt>
                <c:pt idx="15">
                  <c:v>229.23974999999973</c:v>
                </c:pt>
                <c:pt idx="16">
                  <c:v>229.23974999999973</c:v>
                </c:pt>
                <c:pt idx="17">
                  <c:v>229.23974999999973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xmlns:c16r2="http://schemas.microsoft.com/office/drawing/2015/06/chart">
            <c:ext xmlns:c16="http://schemas.microsoft.com/office/drawing/2014/chart" uri="{C3380CC4-5D6E-409C-BE32-E72D297353CC}">
              <c16:uniqueId val="{0000000D-9031-4B95-AA9A-E704AAD4D420}"/>
            </c:ext>
          </c:extLst>
        </c:ser>
        <c:dLbls>
          <c:showLegendKey val="0"/>
          <c:showVal val="0"/>
          <c:showCatName val="0"/>
          <c:showSerName val="0"/>
          <c:showPercent val="0"/>
          <c:showBubbleSize val="0"/>
        </c:dLbls>
        <c:gapWidth val="50"/>
        <c:overlap val="100"/>
        <c:axId val="362903808"/>
        <c:axId val="362926080"/>
      </c:barChart>
      <c:catAx>
        <c:axId val="362903808"/>
        <c:scaling>
          <c:orientation val="minMax"/>
        </c:scaling>
        <c:delete val="0"/>
        <c:axPos val="b"/>
        <c:numFmt formatCode="General" sourceLinked="0"/>
        <c:majorTickMark val="none"/>
        <c:minorTickMark val="none"/>
        <c:tickLblPos val="nextTo"/>
        <c:txPr>
          <a:bodyPr rot="-5400000" vert="horz"/>
          <a:lstStyle/>
          <a:p>
            <a:pPr>
              <a:defRPr sz="1200" b="0">
                <a:latin typeface="Arial" panose="020B0604020202020204" pitchFamily="34" charset="0"/>
                <a:cs typeface="Arial" panose="020B0604020202020204" pitchFamily="34" charset="0"/>
              </a:defRPr>
            </a:pPr>
            <a:endParaRPr lang="nl-NL"/>
          </a:p>
        </c:txPr>
        <c:crossAx val="362926080"/>
        <c:crosses val="autoZero"/>
        <c:auto val="1"/>
        <c:lblAlgn val="ctr"/>
        <c:lblOffset val="100"/>
        <c:noMultiLvlLbl val="0"/>
      </c:catAx>
      <c:valAx>
        <c:axId val="362926080"/>
        <c:scaling>
          <c:orientation val="minMax"/>
          <c:min val="0"/>
        </c:scaling>
        <c:delete val="0"/>
        <c:axPos val="l"/>
        <c:majorGridlines/>
        <c:title>
          <c:tx>
            <c:rich>
              <a:bodyPr rot="-5400000" vert="horz"/>
              <a:lstStyle/>
              <a:p>
                <a:pPr>
                  <a:defRPr sz="1600">
                    <a:latin typeface="Arial" panose="020B0604020202020204" pitchFamily="34" charset="0"/>
                    <a:cs typeface="Arial" panose="020B0604020202020204" pitchFamily="34" charset="0"/>
                  </a:defRPr>
                </a:pPr>
                <a:r>
                  <a:rPr lang="en-US" sz="1600">
                    <a:latin typeface="Arial" panose="020B0604020202020204" pitchFamily="34" charset="0"/>
                    <a:cs typeface="Arial" panose="020B0604020202020204" pitchFamily="34" charset="0"/>
                  </a:rPr>
                  <a:t>Uitgaven, mln €</a:t>
                </a:r>
              </a:p>
            </c:rich>
          </c:tx>
          <c:layout>
            <c:manualLayout>
              <c:xMode val="edge"/>
              <c:yMode val="edge"/>
              <c:x val="6.5513735568082125E-3"/>
              <c:y val="0.29989179625451751"/>
            </c:manualLayout>
          </c:layout>
          <c:overlay val="0"/>
        </c:title>
        <c:numFmt formatCode="_ * #,##0_ ;_ * \-#,##0_ ;_ * &quot;-&quot;??_ ;_ @_ " sourceLinked="1"/>
        <c:majorTickMark val="none"/>
        <c:minorTickMark val="none"/>
        <c:tickLblPos val="nextTo"/>
        <c:txPr>
          <a:bodyPr/>
          <a:lstStyle/>
          <a:p>
            <a:pPr>
              <a:defRPr sz="1200">
                <a:latin typeface="Arial" panose="020B0604020202020204" pitchFamily="34" charset="0"/>
                <a:cs typeface="Arial" panose="020B0604020202020204" pitchFamily="34" charset="0"/>
              </a:defRPr>
            </a:pPr>
            <a:endParaRPr lang="nl-NL"/>
          </a:p>
        </c:txPr>
        <c:crossAx val="362903808"/>
        <c:crosses val="autoZero"/>
        <c:crossBetween val="between"/>
      </c:valAx>
    </c:plotArea>
    <c:legend>
      <c:legendPos val="r"/>
      <c:layout>
        <c:manualLayout>
          <c:xMode val="edge"/>
          <c:yMode val="edge"/>
          <c:x val="0.74419382446435933"/>
          <c:y val="0.31131628828656277"/>
          <c:w val="0.25485675364174876"/>
          <c:h val="0.60337258546781092"/>
        </c:manualLayout>
      </c:layout>
      <c:overlay val="0"/>
      <c:txPr>
        <a:bodyPr/>
        <a:lstStyle/>
        <a:p>
          <a:pPr>
            <a:defRPr sz="1200"/>
          </a:pPr>
          <a:endParaRPr lang="nl-NL"/>
        </a:p>
      </c:txPr>
    </c:legend>
    <c:plotVisOnly val="1"/>
    <c:dispBlanksAs val="gap"/>
    <c:showDLblsOverMax val="0"/>
  </c:chart>
  <c:spPr>
    <a:effectLst>
      <a:outerShdw blurRad="50800" dist="38100" dir="2700000" algn="tl" rotWithShape="0">
        <a:prstClr val="black">
          <a:alpha val="40000"/>
        </a:prstClr>
      </a:outerShdw>
    </a:effec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05995481692662"/>
          <c:y val="0.16236758665745446"/>
          <c:w val="0.56780192839421684"/>
          <c:h val="0.75901247065083433"/>
        </c:manualLayout>
      </c:layout>
      <c:pieChart>
        <c:varyColors val="1"/>
        <c:ser>
          <c:idx val="0"/>
          <c:order val="0"/>
          <c:dPt>
            <c:idx val="0"/>
            <c:bubble3D val="0"/>
            <c:spPr>
              <a:solidFill>
                <a:schemeClr val="accent4">
                  <a:lumMod val="75000"/>
                </a:schemeClr>
              </a:solidFill>
            </c:spPr>
            <c:extLst xmlns:c16r2="http://schemas.microsoft.com/office/drawing/2015/06/chart">
              <c:ext xmlns:c16="http://schemas.microsoft.com/office/drawing/2014/chart" uri="{C3380CC4-5D6E-409C-BE32-E72D297353CC}">
                <c16:uniqueId val="{00000001-18EE-45E8-A6AA-7ED269A9EAA3}"/>
              </c:ext>
            </c:extLst>
          </c:dPt>
          <c:dPt>
            <c:idx val="1"/>
            <c:bubble3D val="0"/>
            <c:spPr>
              <a:solidFill>
                <a:srgbClr val="C8D7EC"/>
              </a:solidFill>
            </c:spPr>
            <c:extLst xmlns:c16r2="http://schemas.microsoft.com/office/drawing/2015/06/chart">
              <c:ext xmlns:c16="http://schemas.microsoft.com/office/drawing/2014/chart" uri="{C3380CC4-5D6E-409C-BE32-E72D297353CC}">
                <c16:uniqueId val="{00000003-18EE-45E8-A6AA-7ED269A9EAA3}"/>
              </c:ext>
            </c:extLst>
          </c:dPt>
          <c:dPt>
            <c:idx val="2"/>
            <c:bubble3D val="0"/>
            <c:spPr>
              <a:solidFill>
                <a:srgbClr val="9AB7DA"/>
              </a:solidFill>
            </c:spPr>
            <c:extLst xmlns:c16r2="http://schemas.microsoft.com/office/drawing/2015/06/chart">
              <c:ext xmlns:c16="http://schemas.microsoft.com/office/drawing/2014/chart" uri="{C3380CC4-5D6E-409C-BE32-E72D297353CC}">
                <c16:uniqueId val="{00000005-18EE-45E8-A6AA-7ED269A9EAA3}"/>
              </c:ext>
            </c:extLst>
          </c:dPt>
          <c:dPt>
            <c:idx val="3"/>
            <c:bubble3D val="0"/>
            <c:spPr>
              <a:solidFill>
                <a:srgbClr val="FFFF00"/>
              </a:solidFill>
            </c:spPr>
            <c:extLst xmlns:c16r2="http://schemas.microsoft.com/office/drawing/2015/06/chart">
              <c:ext xmlns:c16="http://schemas.microsoft.com/office/drawing/2014/chart" uri="{C3380CC4-5D6E-409C-BE32-E72D297353CC}">
                <c16:uniqueId val="{00000007-18EE-45E8-A6AA-7ED269A9EAA3}"/>
              </c:ext>
            </c:extLst>
          </c:dPt>
          <c:dPt>
            <c:idx val="4"/>
            <c:bubble3D val="0"/>
            <c:spPr>
              <a:solidFill>
                <a:srgbClr val="FFCC00"/>
              </a:solidFill>
            </c:spPr>
            <c:extLst xmlns:c16r2="http://schemas.microsoft.com/office/drawing/2015/06/chart">
              <c:ext xmlns:c16="http://schemas.microsoft.com/office/drawing/2014/chart" uri="{C3380CC4-5D6E-409C-BE32-E72D297353CC}">
                <c16:uniqueId val="{00000009-18EE-45E8-A6AA-7ED269A9EAA3}"/>
              </c:ext>
            </c:extLst>
          </c:dPt>
          <c:dPt>
            <c:idx val="5"/>
            <c:bubble3D val="0"/>
            <c:spPr>
              <a:solidFill>
                <a:srgbClr val="FF9900"/>
              </a:solidFill>
            </c:spPr>
            <c:extLst xmlns:c16r2="http://schemas.microsoft.com/office/drawing/2015/06/chart">
              <c:ext xmlns:c16="http://schemas.microsoft.com/office/drawing/2014/chart" uri="{C3380CC4-5D6E-409C-BE32-E72D297353CC}">
                <c16:uniqueId val="{0000000B-18EE-45E8-A6AA-7ED269A9EAA3}"/>
              </c:ext>
            </c:extLst>
          </c:dPt>
          <c:dPt>
            <c:idx val="6"/>
            <c:bubble3D val="0"/>
            <c:spPr>
              <a:solidFill>
                <a:srgbClr val="E1AAA9"/>
              </a:solidFill>
            </c:spPr>
            <c:extLst xmlns:c16r2="http://schemas.microsoft.com/office/drawing/2015/06/chart">
              <c:ext xmlns:c16="http://schemas.microsoft.com/office/drawing/2014/chart" uri="{C3380CC4-5D6E-409C-BE32-E72D297353CC}">
                <c16:uniqueId val="{0000000D-18EE-45E8-A6AA-7ED269A9EAA3}"/>
              </c:ext>
            </c:extLst>
          </c:dPt>
          <c:dPt>
            <c:idx val="7"/>
            <c:bubble3D val="0"/>
            <c:spPr>
              <a:solidFill>
                <a:srgbClr val="CD7371"/>
              </a:solidFill>
            </c:spPr>
            <c:extLst xmlns:c16r2="http://schemas.microsoft.com/office/drawing/2015/06/chart">
              <c:ext xmlns:c16="http://schemas.microsoft.com/office/drawing/2014/chart" uri="{C3380CC4-5D6E-409C-BE32-E72D297353CC}">
                <c16:uniqueId val="{0000000F-18EE-45E8-A6AA-7ED269A9EAA3}"/>
              </c:ext>
            </c:extLst>
          </c:dPt>
          <c:dPt>
            <c:idx val="8"/>
            <c:bubble3D val="0"/>
            <c:spPr>
              <a:solidFill>
                <a:srgbClr val="CDE1AF"/>
              </a:solidFill>
            </c:spPr>
            <c:extLst xmlns:c16r2="http://schemas.microsoft.com/office/drawing/2015/06/chart">
              <c:ext xmlns:c16="http://schemas.microsoft.com/office/drawing/2014/chart" uri="{C3380CC4-5D6E-409C-BE32-E72D297353CC}">
                <c16:uniqueId val="{00000011-18EE-45E8-A6AA-7ED269A9EAA3}"/>
              </c:ext>
            </c:extLst>
          </c:dPt>
          <c:dPt>
            <c:idx val="9"/>
            <c:bubble3D val="0"/>
            <c:spPr>
              <a:solidFill>
                <a:srgbClr val="B4CD82"/>
              </a:solidFill>
            </c:spPr>
            <c:extLst xmlns:c16r2="http://schemas.microsoft.com/office/drawing/2015/06/chart">
              <c:ext xmlns:c16="http://schemas.microsoft.com/office/drawing/2014/chart" uri="{C3380CC4-5D6E-409C-BE32-E72D297353CC}">
                <c16:uniqueId val="{00000013-18EE-45E8-A6AA-7ED269A9EAA3}"/>
              </c:ext>
            </c:extLst>
          </c:dPt>
          <c:dPt>
            <c:idx val="10"/>
            <c:bubble3D val="0"/>
            <c:spPr>
              <a:solidFill>
                <a:srgbClr val="91B44A"/>
              </a:solidFill>
            </c:spPr>
            <c:extLst xmlns:c16r2="http://schemas.microsoft.com/office/drawing/2015/06/chart">
              <c:ext xmlns:c16="http://schemas.microsoft.com/office/drawing/2014/chart" uri="{C3380CC4-5D6E-409C-BE32-E72D297353CC}">
                <c16:uniqueId val="{00000015-18EE-45E8-A6AA-7ED269A9EAA3}"/>
              </c:ext>
            </c:extLst>
          </c:dPt>
          <c:dPt>
            <c:idx val="11"/>
            <c:bubble3D val="0"/>
            <c:spPr>
              <a:solidFill>
                <a:schemeClr val="accent3">
                  <a:lumMod val="75000"/>
                </a:schemeClr>
              </a:solidFill>
            </c:spPr>
            <c:extLst xmlns:c16r2="http://schemas.microsoft.com/office/drawing/2015/06/chart">
              <c:ext xmlns:c16="http://schemas.microsoft.com/office/drawing/2014/chart" uri="{C3380CC4-5D6E-409C-BE32-E72D297353CC}">
                <c16:uniqueId val="{00000017-18EE-45E8-A6AA-7ED269A9EAA3}"/>
              </c:ext>
            </c:extLst>
          </c:dPt>
          <c:dPt>
            <c:idx val="12"/>
            <c:bubble3D val="0"/>
            <c:spPr>
              <a:solidFill>
                <a:srgbClr val="B8AF82"/>
              </a:solidFill>
            </c:spPr>
            <c:extLst xmlns:c16r2="http://schemas.microsoft.com/office/drawing/2015/06/chart">
              <c:ext xmlns:c16="http://schemas.microsoft.com/office/drawing/2014/chart" uri="{C3380CC4-5D6E-409C-BE32-E72D297353CC}">
                <c16:uniqueId val="{00000019-18EE-45E8-A6AA-7ED269A9EAA3}"/>
              </c:ext>
            </c:extLst>
          </c:dPt>
          <c:dPt>
            <c:idx val="13"/>
            <c:bubble3D val="0"/>
            <c:spPr>
              <a:solidFill>
                <a:srgbClr val="887E4E"/>
              </a:solidFill>
            </c:spPr>
            <c:extLst xmlns:c16r2="http://schemas.microsoft.com/office/drawing/2015/06/chart">
              <c:ext xmlns:c16="http://schemas.microsoft.com/office/drawing/2014/chart" uri="{C3380CC4-5D6E-409C-BE32-E72D297353CC}">
                <c16:uniqueId val="{0000001B-18EE-45E8-A6AA-7ED269A9EAA3}"/>
              </c:ext>
            </c:extLst>
          </c:dPt>
          <c:dPt>
            <c:idx val="14"/>
            <c:bubble3D val="0"/>
            <c:spPr>
              <a:solidFill>
                <a:schemeClr val="accent4">
                  <a:lumMod val="40000"/>
                  <a:lumOff val="60000"/>
                </a:schemeClr>
              </a:solidFill>
            </c:spPr>
            <c:extLst xmlns:c16r2="http://schemas.microsoft.com/office/drawing/2015/06/chart">
              <c:ext xmlns:c16="http://schemas.microsoft.com/office/drawing/2014/chart" uri="{C3380CC4-5D6E-409C-BE32-E72D297353CC}">
                <c16:uniqueId val="{0000001D-18EE-45E8-A6AA-7ED269A9EAA3}"/>
              </c:ext>
            </c:extLst>
          </c:dPt>
          <c:dPt>
            <c:idx val="15"/>
            <c:bubble3D val="0"/>
            <c:spPr>
              <a:solidFill>
                <a:schemeClr val="accent4">
                  <a:lumMod val="60000"/>
                  <a:lumOff val="40000"/>
                </a:schemeClr>
              </a:solidFill>
            </c:spPr>
            <c:extLst xmlns:c16r2="http://schemas.microsoft.com/office/drawing/2015/06/chart">
              <c:ext xmlns:c16="http://schemas.microsoft.com/office/drawing/2014/chart" uri="{C3380CC4-5D6E-409C-BE32-E72D297353CC}">
                <c16:uniqueId val="{0000001F-18EE-45E8-A6AA-7ED269A9EAA3}"/>
              </c:ext>
            </c:extLst>
          </c:dPt>
          <c:dLbls>
            <c:dLbl>
              <c:idx val="0"/>
              <c:layout>
                <c:manualLayout>
                  <c:x val="0.10013569625541306"/>
                  <c:y val="2.6116180607664238E-2"/>
                </c:manualLayout>
              </c:layout>
              <c:dLblPos val="bestFit"/>
              <c:showLegendKey val="0"/>
              <c:showVal val="1"/>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EE-45E8-A6AA-7ED269A9EAA3}"/>
                </c:ext>
              </c:extLst>
            </c:dLbl>
            <c:dLbl>
              <c:idx val="2"/>
              <c:layout>
                <c:manualLayout>
                  <c:x val="-0.13274720958616357"/>
                  <c:y val="4.6540041942151202E-2"/>
                </c:manualLayout>
              </c:layout>
              <c:dLblPos val="bestFit"/>
              <c:showLegendKey val="0"/>
              <c:showVal val="1"/>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8EE-45E8-A6AA-7ED269A9EAA3}"/>
                </c:ext>
              </c:extLst>
            </c:dLbl>
            <c:dLbl>
              <c:idx val="3"/>
              <c:layout>
                <c:manualLayout>
                  <c:x val="8.6319894614811224E-2"/>
                  <c:y val="-3.3933720142635383E-2"/>
                </c:manualLayout>
              </c:layout>
              <c:dLblPos val="bestFit"/>
              <c:showLegendKey val="0"/>
              <c:showVal val="1"/>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EE-45E8-A6AA-7ED269A9EAA3}"/>
                </c:ext>
              </c:extLst>
            </c:dLbl>
            <c:dLbl>
              <c:idx val="4"/>
              <c:layout>
                <c:manualLayout>
                  <c:x val="0.13202562042253596"/>
                  <c:y val="-2.3650272327624747E-2"/>
                </c:manualLayout>
              </c:layout>
              <c:dLblPos val="bestFit"/>
              <c:showLegendKey val="0"/>
              <c:showVal val="1"/>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8EE-45E8-A6AA-7ED269A9EAA3}"/>
                </c:ext>
              </c:extLst>
            </c:dLbl>
            <c:dLbl>
              <c:idx val="5"/>
              <c:layout>
                <c:manualLayout>
                  <c:x val="0.15862472889234938"/>
                  <c:y val="2.4134174172034666E-2"/>
                </c:manualLayout>
              </c:layout>
              <c:dLblPos val="bestFit"/>
              <c:showLegendKey val="0"/>
              <c:showVal val="1"/>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8EE-45E8-A6AA-7ED269A9EAA3}"/>
                </c:ext>
              </c:extLst>
            </c:dLbl>
            <c:dLbl>
              <c:idx val="6"/>
              <c:layout>
                <c:manualLayout>
                  <c:x val="6.7121111202338796E-2"/>
                  <c:y val="4.6647958190162202E-2"/>
                </c:manualLayout>
              </c:layout>
              <c:dLblPos val="bestFit"/>
              <c:showLegendKey val="0"/>
              <c:showVal val="1"/>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8EE-45E8-A6AA-7ED269A9EAA3}"/>
                </c:ext>
              </c:extLst>
            </c:dLbl>
            <c:dLbl>
              <c:idx val="7"/>
              <c:layout>
                <c:manualLayout>
                  <c:x val="2.4936064879397916E-2"/>
                  <c:y val="0.11284708962094478"/>
                </c:manualLayout>
              </c:layout>
              <c:dLblPos val="bestFit"/>
              <c:showLegendKey val="0"/>
              <c:showVal val="1"/>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8EE-45E8-A6AA-7ED269A9EAA3}"/>
                </c:ext>
              </c:extLst>
            </c:dLbl>
            <c:dLbl>
              <c:idx val="8"/>
              <c:layout>
                <c:manualLayout>
                  <c:x val="3.6252114094136409E-2"/>
                  <c:y val="-3.7793014709960399E-4"/>
                </c:manualLayout>
              </c:layout>
              <c:dLblPos val="bestFit"/>
              <c:showLegendKey val="0"/>
              <c:showVal val="1"/>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18EE-45E8-A6AA-7ED269A9EAA3}"/>
                </c:ext>
              </c:extLst>
            </c:dLbl>
            <c:dLbl>
              <c:idx val="9"/>
              <c:layout>
                <c:manualLayout>
                  <c:x val="-9.5158625065333933E-3"/>
                  <c:y val="2.3966634393386314E-2"/>
                </c:manualLayout>
              </c:layout>
              <c:dLblPos val="bestFit"/>
              <c:showLegendKey val="0"/>
              <c:showVal val="1"/>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18EE-45E8-A6AA-7ED269A9EAA3}"/>
                </c:ext>
              </c:extLst>
            </c:dLbl>
            <c:dLbl>
              <c:idx val="10"/>
              <c:layout>
                <c:manualLayout>
                  <c:x val="-4.4017192800035021E-2"/>
                  <c:y val="1.456064014972522E-2"/>
                </c:manualLayout>
              </c:layout>
              <c:dLblPos val="bestFit"/>
              <c:showLegendKey val="0"/>
              <c:showVal val="1"/>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18EE-45E8-A6AA-7ED269A9EAA3}"/>
                </c:ext>
              </c:extLst>
            </c:dLbl>
            <c:dLbl>
              <c:idx val="11"/>
              <c:layout>
                <c:manualLayout>
                  <c:x val="-0.13540081924083491"/>
                  <c:y val="-7.6770844392610144E-2"/>
                </c:manualLayout>
              </c:layout>
              <c:dLblPos val="bestFit"/>
              <c:showLegendKey val="0"/>
              <c:showVal val="1"/>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18EE-45E8-A6AA-7ED269A9EAA3}"/>
                </c:ext>
              </c:extLst>
            </c:dLbl>
            <c:dLbl>
              <c:idx val="12"/>
              <c:layout>
                <c:manualLayout>
                  <c:x val="-8.2870631943166212E-2"/>
                  <c:y val="-0.15851753136344851"/>
                </c:manualLayout>
              </c:layout>
              <c:dLblPos val="bestFit"/>
              <c:showLegendKey val="0"/>
              <c:showVal val="1"/>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18EE-45E8-A6AA-7ED269A9EAA3}"/>
                </c:ext>
              </c:extLst>
            </c:dLbl>
            <c:dLbl>
              <c:idx val="13"/>
              <c:layout>
                <c:manualLayout>
                  <c:x val="-3.9635631860926619E-2"/>
                  <c:y val="-5.9410469078227824E-3"/>
                </c:manualLayout>
              </c:layout>
              <c:dLblPos val="bestFit"/>
              <c:showLegendKey val="0"/>
              <c:showVal val="1"/>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18EE-45E8-A6AA-7ED269A9EAA3}"/>
                </c:ext>
              </c:extLst>
            </c:dLbl>
            <c:dLbl>
              <c:idx val="14"/>
              <c:layout>
                <c:manualLayout>
                  <c:x val="9.6463930574300791E-2"/>
                  <c:y val="0.13807487292150833"/>
                </c:manualLayout>
              </c:layout>
              <c:dLblPos val="bestFit"/>
              <c:showLegendKey val="0"/>
              <c:showVal val="1"/>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18EE-45E8-A6AA-7ED269A9EAA3}"/>
                </c:ext>
              </c:extLst>
            </c:dLbl>
            <c:dLbl>
              <c:idx val="15"/>
              <c:layout>
                <c:manualLayout>
                  <c:x val="-5.6343342444825965E-4"/>
                  <c:y val="-1.5207060746070974E-2"/>
                </c:manualLayout>
              </c:layout>
              <c:dLblPos val="bestFit"/>
              <c:showLegendKey val="0"/>
              <c:showVal val="1"/>
              <c:showCatName val="1"/>
              <c:showSerName val="0"/>
              <c:showPercent val="1"/>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18EE-45E8-A6AA-7ED269A9EAA3}"/>
                </c:ext>
              </c:extLst>
            </c:dLbl>
            <c:numFmt formatCode="0.0%" sourceLinked="0"/>
            <c:spPr>
              <a:noFill/>
              <a:ln>
                <a:noFill/>
              </a:ln>
              <a:effectLst/>
            </c:spPr>
            <c:txPr>
              <a:bodyPr/>
              <a:lstStyle/>
              <a:p>
                <a:pPr>
                  <a:defRPr sz="1050"/>
                </a:pPr>
                <a:endParaRPr lang="nl-NL"/>
              </a:p>
            </c:txPr>
            <c:dLblPos val="bestFit"/>
            <c:showLegendKey val="0"/>
            <c:showVal val="1"/>
            <c:showCatName val="1"/>
            <c:showSerName val="0"/>
            <c:showPercent val="1"/>
            <c:showBubbleSize val="0"/>
            <c:separator>
</c:separator>
            <c:showLeaderLines val="1"/>
            <c:extLst xmlns:c16r2="http://schemas.microsoft.com/office/drawing/2015/06/chart">
              <c:ext xmlns:c15="http://schemas.microsoft.com/office/drawing/2012/chart" uri="{CE6537A1-D6FC-4f65-9D91-7224C49458BB}"/>
            </c:extLst>
          </c:dLbls>
          <c:cat>
            <c:strRef>
              <c:f>Resultaatgrafiek!$A$50:$A$65</c:f>
              <c:strCache>
                <c:ptCount val="16"/>
                <c:pt idx="0">
                  <c:v>Waterkracht</c:v>
                </c:pt>
                <c:pt idx="1">
                  <c:v>Wind op Land</c:v>
                </c:pt>
                <c:pt idx="2">
                  <c:v>Wind op Zee</c:v>
                </c:pt>
                <c:pt idx="3">
                  <c:v>Zon PV (groot)</c:v>
                </c:pt>
                <c:pt idx="4">
                  <c:v>Zon PV (klein)</c:v>
                </c:pt>
                <c:pt idx="5">
                  <c:v>Zon thermisch</c:v>
                </c:pt>
                <c:pt idx="6">
                  <c:v>Geothermie</c:v>
                </c:pt>
                <c:pt idx="7">
                  <c:v>WKO + warmtepompen</c:v>
                </c:pt>
                <c:pt idx="8">
                  <c:v>Biomassa - tbv elektriciteit</c:v>
                </c:pt>
                <c:pt idx="9">
                  <c:v>Biomassa - tbv warmte</c:v>
                </c:pt>
                <c:pt idx="10">
                  <c:v>Houtkachels bij particulieren</c:v>
                </c:pt>
                <c:pt idx="11">
                  <c:v>Biobrandstof bijmengen - tbv vervoer</c:v>
                </c:pt>
                <c:pt idx="12">
                  <c:v>Schone voertuigen (inc fiscale maatregelen zuinige auto's algemeen tm 2014)</c:v>
                </c:pt>
                <c:pt idx="13">
                  <c:v>Energienetwerk uitbreiden (incl. stopcontact op zee, energieopslag, netverzwaring, vervroegd afschrijven fossiele centrales)</c:v>
                </c:pt>
                <c:pt idx="14">
                  <c:v>Energiebesparing</c:v>
                </c:pt>
                <c:pt idx="15">
                  <c:v>Overig i.e. CCS, emissiehandel en innovatie</c:v>
                </c:pt>
              </c:strCache>
            </c:strRef>
          </c:cat>
          <c:val>
            <c:numRef>
              <c:f>Resultaatgrafiek!$C$50:$C$65</c:f>
              <c:numCache>
                <c:formatCode>"€"\ #,##0</c:formatCode>
                <c:ptCount val="16"/>
                <c:pt idx="0">
                  <c:v>147</c:v>
                </c:pt>
                <c:pt idx="1">
                  <c:v>11672.735999999999</c:v>
                </c:pt>
                <c:pt idx="2">
                  <c:v>12032.388999999999</c:v>
                </c:pt>
                <c:pt idx="3">
                  <c:v>784.85</c:v>
                </c:pt>
                <c:pt idx="4">
                  <c:v>7902.1259315963698</c:v>
                </c:pt>
                <c:pt idx="5">
                  <c:v>151.25000000000003</c:v>
                </c:pt>
                <c:pt idx="6">
                  <c:v>1031.25</c:v>
                </c:pt>
                <c:pt idx="7">
                  <c:v>333.33333333333337</c:v>
                </c:pt>
                <c:pt idx="8">
                  <c:v>18203.644444444442</c:v>
                </c:pt>
                <c:pt idx="9">
                  <c:v>4601.9049999999997</c:v>
                </c:pt>
                <c:pt idx="10">
                  <c:v>0</c:v>
                </c:pt>
                <c:pt idx="11">
                  <c:v>6242.7425557466513</c:v>
                </c:pt>
                <c:pt idx="12">
                  <c:v>7571.68</c:v>
                </c:pt>
                <c:pt idx="13">
                  <c:v>19153.109581249999</c:v>
                </c:pt>
                <c:pt idx="14">
                  <c:v>15567.967414601571</c:v>
                </c:pt>
                <c:pt idx="15">
                  <c:v>1833.9179999999978</c:v>
                </c:pt>
              </c:numCache>
            </c:numRef>
          </c:val>
          <c:extLst xmlns:c16r2="http://schemas.microsoft.com/office/drawing/2015/06/chart">
            <c:ext xmlns:c16="http://schemas.microsoft.com/office/drawing/2014/chart" uri="{C3380CC4-5D6E-409C-BE32-E72D297353CC}">
              <c16:uniqueId val="{00000020-18EE-45E8-A6AA-7ED269A9EAA3}"/>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ln w="12700">
      <a:solidFill>
        <a:schemeClr val="tx2">
          <a:lumMod val="40000"/>
          <a:lumOff val="60000"/>
        </a:schemeClr>
      </a:solidFill>
    </a:ln>
    <a:effectLst>
      <a:outerShdw blurRad="50800" dist="38100" dir="2700000" algn="tl" rotWithShape="0">
        <a:prstClr val="black">
          <a:alpha val="40000"/>
        </a:prstClr>
      </a:outerShdw>
    </a:effectLst>
    <a:scene3d>
      <a:camera prst="orthographicFront"/>
      <a:lightRig rig="threePt" dir="t"/>
    </a:scene3d>
    <a:sp3d/>
  </c:spPr>
  <c:txPr>
    <a:bodyPr/>
    <a:lstStyle/>
    <a:p>
      <a:pPr>
        <a:defRPr sz="1100"/>
      </a:pPr>
      <a:endParaRPr lang="nl-NL"/>
    </a:p>
  </c:txPr>
  <c:printSettings>
    <c:headerFooter/>
    <c:pageMargins b="0.75" l="0.7" r="0.7" t="0.75" header="0.3" footer="0.3"/>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scatterChart>
        <c:scatterStyle val="lineMarker"/>
        <c:varyColors val="0"/>
        <c:ser>
          <c:idx val="1"/>
          <c:order val="0"/>
          <c:tx>
            <c:strRef>
              <c:f>Warmte!$D$112</c:f>
              <c:strCache>
                <c:ptCount val="1"/>
                <c:pt idx="0">
                  <c:v>GWh</c:v>
                </c:pt>
              </c:strCache>
            </c:strRef>
          </c:tx>
          <c:xVal>
            <c:numRef>
              <c:f>Warmte!$B$113:$B$131</c:f>
              <c:numCache>
                <c:formatCode>General</c:formatCode>
                <c:ptCount val="19"/>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numCache>
            </c:numRef>
          </c:xVal>
          <c:yVal>
            <c:numRef>
              <c:f>Warmte!$D$113:$D$131</c:f>
              <c:numCache>
                <c:formatCode>General</c:formatCode>
                <c:ptCount val="19"/>
                <c:pt idx="0">
                  <c:v>48508.475287000001</c:v>
                </c:pt>
                <c:pt idx="1">
                  <c:v>45799.593982999999</c:v>
                </c:pt>
                <c:pt idx="2">
                  <c:v>47695.422008000001</c:v>
                </c:pt>
                <c:pt idx="3">
                  <c:v>50464.025367000002</c:v>
                </c:pt>
                <c:pt idx="4">
                  <c:v>49751.527362000001</c:v>
                </c:pt>
                <c:pt idx="5">
                  <c:v>49246.250998999996</c:v>
                </c:pt>
                <c:pt idx="6">
                  <c:v>53941.515630000002</c:v>
                </c:pt>
                <c:pt idx="7">
                  <c:v>55613.177616000001</c:v>
                </c:pt>
                <c:pt idx="8">
                  <c:v>55749.8439</c:v>
                </c:pt>
                <c:pt idx="9">
                  <c:v>58306.225631000001</c:v>
                </c:pt>
                <c:pt idx="10">
                  <c:v>61393.439208999996</c:v>
                </c:pt>
                <c:pt idx="11">
                  <c:v>63419.544647000002</c:v>
                </c:pt>
                <c:pt idx="12">
                  <c:v>61753.993754999996</c:v>
                </c:pt>
                <c:pt idx="13">
                  <c:v>58581.780415000001</c:v>
                </c:pt>
                <c:pt idx="14">
                  <c:v>53109.851291999999</c:v>
                </c:pt>
                <c:pt idx="15">
                  <c:v>50108.193030000002</c:v>
                </c:pt>
                <c:pt idx="16">
                  <c:v>47505.42254</c:v>
                </c:pt>
                <c:pt idx="17">
                  <c:v>43949.321385999996</c:v>
                </c:pt>
                <c:pt idx="18">
                  <c:v>42630.841744419995</c:v>
                </c:pt>
              </c:numCache>
            </c:numRef>
          </c:yVal>
          <c:smooth val="0"/>
        </c:ser>
        <c:dLbls>
          <c:showLegendKey val="0"/>
          <c:showVal val="0"/>
          <c:showCatName val="0"/>
          <c:showSerName val="0"/>
          <c:showPercent val="0"/>
          <c:showBubbleSize val="0"/>
        </c:dLbls>
        <c:axId val="365180800"/>
        <c:axId val="365182336"/>
      </c:scatterChart>
      <c:valAx>
        <c:axId val="365180800"/>
        <c:scaling>
          <c:orientation val="minMax"/>
        </c:scaling>
        <c:delete val="0"/>
        <c:axPos val="b"/>
        <c:numFmt formatCode="General" sourceLinked="1"/>
        <c:majorTickMark val="out"/>
        <c:minorTickMark val="none"/>
        <c:tickLblPos val="nextTo"/>
        <c:crossAx val="365182336"/>
        <c:crosses val="autoZero"/>
        <c:crossBetween val="midCat"/>
      </c:valAx>
      <c:valAx>
        <c:axId val="365182336"/>
        <c:scaling>
          <c:orientation val="minMax"/>
        </c:scaling>
        <c:delete val="0"/>
        <c:axPos val="l"/>
        <c:majorGridlines/>
        <c:numFmt formatCode="General" sourceLinked="1"/>
        <c:majorTickMark val="out"/>
        <c:minorTickMark val="none"/>
        <c:tickLblPos val="nextTo"/>
        <c:crossAx val="365180800"/>
        <c:crosses val="autoZero"/>
        <c:crossBetween val="midCat"/>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4.xml"/><Relationship Id="rId13" Type="http://schemas.openxmlformats.org/officeDocument/2006/relationships/image" Target="../media/image5.emf"/><Relationship Id="rId3" Type="http://schemas.openxmlformats.org/officeDocument/2006/relationships/hyperlink" Target="http://www.breedofbuilds.nl" TargetMode="External"/><Relationship Id="rId7" Type="http://schemas.openxmlformats.org/officeDocument/2006/relationships/chart" Target="../charts/chart3.xml"/><Relationship Id="rId12" Type="http://schemas.openxmlformats.org/officeDocument/2006/relationships/image" Target="../media/image4.emf"/><Relationship Id="rId2" Type="http://schemas.openxmlformats.org/officeDocument/2006/relationships/chart" Target="../charts/chart2.xml"/><Relationship Id="rId16" Type="http://schemas.openxmlformats.org/officeDocument/2006/relationships/image" Target="../media/image8.emf"/><Relationship Id="rId1" Type="http://schemas.openxmlformats.org/officeDocument/2006/relationships/chart" Target="../charts/chart1.xml"/><Relationship Id="rId6" Type="http://schemas.openxmlformats.org/officeDocument/2006/relationships/image" Target="../media/image2.png"/><Relationship Id="rId11" Type="http://schemas.openxmlformats.org/officeDocument/2006/relationships/chart" Target="../charts/chart6.xml"/><Relationship Id="rId5" Type="http://schemas.openxmlformats.org/officeDocument/2006/relationships/hyperlink" Target="http://www.process-design-center.com/" TargetMode="External"/><Relationship Id="rId15" Type="http://schemas.openxmlformats.org/officeDocument/2006/relationships/image" Target="../media/image7.emf"/><Relationship Id="rId10" Type="http://schemas.openxmlformats.org/officeDocument/2006/relationships/chart" Target="../charts/chart5.xml"/><Relationship Id="rId4" Type="http://schemas.openxmlformats.org/officeDocument/2006/relationships/image" Target="../media/image1.jpeg"/><Relationship Id="rId9" Type="http://schemas.openxmlformats.org/officeDocument/2006/relationships/image" Target="../media/image3.emf"/><Relationship Id="rId14" Type="http://schemas.openxmlformats.org/officeDocument/2006/relationships/image" Target="../media/image6.emf"/></Relationships>
</file>

<file path=xl/drawings/_rels/drawing10.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image" Target="../media/image24.png"/><Relationship Id="rId4"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hyperlink" Target="http://www.process-design-center.com/" TargetMode="External"/><Relationship Id="rId2" Type="http://schemas.openxmlformats.org/officeDocument/2006/relationships/image" Target="../media/image1.jpeg"/><Relationship Id="rId1" Type="http://schemas.openxmlformats.org/officeDocument/2006/relationships/hyperlink" Target="http://www.breedofbuilds.nl" TargetMode="External"/><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6.emf"/><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emf"/></Relationships>
</file>

<file path=xl/drawings/_rels/drawing7.xml.rels><?xml version="1.0" encoding="UTF-8" standalone="yes"?>
<Relationships xmlns="http://schemas.openxmlformats.org/package/2006/relationships"><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xdr:from>
      <xdr:col>6</xdr:col>
      <xdr:colOff>326232</xdr:colOff>
      <xdr:row>118</xdr:row>
      <xdr:rowOff>845343</xdr:rowOff>
    </xdr:from>
    <xdr:to>
      <xdr:col>15</xdr:col>
      <xdr:colOff>309565</xdr:colOff>
      <xdr:row>144</xdr:row>
      <xdr:rowOff>157957</xdr:rowOff>
    </xdr:to>
    <xdr:graphicFrame macro="">
      <xdr:nvGraphicFramePr>
        <xdr:cNvPr id="25" name="Grafiek 24">
          <a:extLst>
            <a:ext uri="{FF2B5EF4-FFF2-40B4-BE49-F238E27FC236}">
              <a16:creationId xmlns:a16="http://schemas.microsoft.com/office/drawing/2014/main" xmlns=""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345283</xdr:colOff>
      <xdr:row>90</xdr:row>
      <xdr:rowOff>11906</xdr:rowOff>
    </xdr:from>
    <xdr:to>
      <xdr:col>15</xdr:col>
      <xdr:colOff>309565</xdr:colOff>
      <xdr:row>116</xdr:row>
      <xdr:rowOff>39951</xdr:rowOff>
    </xdr:to>
    <xdr:graphicFrame macro="">
      <xdr:nvGraphicFramePr>
        <xdr:cNvPr id="23" name="Grafiek 22">
          <a:extLst>
            <a:ext uri="{FF2B5EF4-FFF2-40B4-BE49-F238E27FC236}">
              <a16:creationId xmlns:a16="http://schemas.microsoft.com/office/drawing/2014/main" xmlns=""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84666</xdr:colOff>
      <xdr:row>0</xdr:row>
      <xdr:rowOff>52918</xdr:rowOff>
    </xdr:from>
    <xdr:ext cx="2233084" cy="352140"/>
    <xdr:pic>
      <xdr:nvPicPr>
        <xdr:cNvPr id="5" name="Picture 81" descr="BreedofBuilds logo.jpg">
          <a:hlinkClick xmlns:r="http://schemas.openxmlformats.org/officeDocument/2006/relationships" r:id="rId3"/>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4666" y="52918"/>
          <a:ext cx="2233084" cy="352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2495550</xdr:colOff>
      <xdr:row>0</xdr:row>
      <xdr:rowOff>9525</xdr:rowOff>
    </xdr:from>
    <xdr:ext cx="990600" cy="500874"/>
    <xdr:pic>
      <xdr:nvPicPr>
        <xdr:cNvPr id="6" name="Afbeelding 5">
          <a:hlinkClick xmlns:r="http://schemas.openxmlformats.org/officeDocument/2006/relationships" r:id="rId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972675" y="9525"/>
          <a:ext cx="990600" cy="500874"/>
        </a:xfrm>
        <a:prstGeom prst="rect">
          <a:avLst/>
        </a:prstGeom>
      </xdr:spPr>
    </xdr:pic>
    <xdr:clientData/>
  </xdr:oneCellAnchor>
  <xdr:twoCellAnchor>
    <xdr:from>
      <xdr:col>1</xdr:col>
      <xdr:colOff>0</xdr:colOff>
      <xdr:row>89</xdr:row>
      <xdr:rowOff>354806</xdr:rowOff>
    </xdr:from>
    <xdr:to>
      <xdr:col>6</xdr:col>
      <xdr:colOff>214311</xdr:colOff>
      <xdr:row>116</xdr:row>
      <xdr:rowOff>39951</xdr:rowOff>
    </xdr:to>
    <xdr:graphicFrame macro="">
      <xdr:nvGraphicFramePr>
        <xdr:cNvPr id="11" name="Grafiek 10">
          <a:extLst>
            <a:ext uri="{FF2B5EF4-FFF2-40B4-BE49-F238E27FC236}">
              <a16:creationId xmlns:a16="http://schemas.microsoft.com/office/drawing/2014/main" xmlns=""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358589</xdr:colOff>
      <xdr:row>12</xdr:row>
      <xdr:rowOff>358588</xdr:rowOff>
    </xdr:from>
    <xdr:to>
      <xdr:col>13</xdr:col>
      <xdr:colOff>190501</xdr:colOff>
      <xdr:row>50</xdr:row>
      <xdr:rowOff>79375</xdr:rowOff>
    </xdr:to>
    <xdr:graphicFrame macro="">
      <xdr:nvGraphicFramePr>
        <xdr:cNvPr id="4" name="Grafiek 1">
          <a:extLst>
            <a:ext uri="{FF2B5EF4-FFF2-40B4-BE49-F238E27FC236}">
              <a16:creationId xmlns:a16="http://schemas.microsoft.com/office/drawing/2014/main" xmlns=""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mc:AlternateContent xmlns:mc="http://schemas.openxmlformats.org/markup-compatibility/2006">
    <mc:Choice xmlns:a14="http://schemas.microsoft.com/office/drawing/2010/main" Requires="a14">
      <xdr:oneCellAnchor>
        <xdr:from>
          <xdr:col>9</xdr:col>
          <xdr:colOff>342812</xdr:colOff>
          <xdr:row>14</xdr:row>
          <xdr:rowOff>194375</xdr:rowOff>
        </xdr:from>
        <xdr:ext cx="2440637" cy="478848"/>
        <xdr:pic>
          <xdr:nvPicPr>
            <xdr:cNvPr id="24" name="Afbeelding 23">
              <a:extLst>
                <a:ext uri="{FF2B5EF4-FFF2-40B4-BE49-F238E27FC236}">
                  <a16:creationId xmlns:a16="http://schemas.microsoft.com/office/drawing/2014/main" xmlns="" id="{00000000-0008-0000-0000-000018000000}"/>
                </a:ext>
              </a:extLst>
            </xdr:cNvPr>
            <xdr:cNvPicPr>
              <a:picLocks noChangeAspect="1" noChangeArrowheads="1"/>
              <a:extLst>
                <a:ext uri="{84589F7E-364E-4C9E-8A38-B11213B215E9}">
                  <a14:cameraTool cellRange="Resultaatgrafiek!$X$201:$AA$202" spid="_x0000_s505997"/>
                </a:ext>
              </a:extLst>
            </xdr:cNvPicPr>
          </xdr:nvPicPr>
          <xdr:blipFill>
            <a:blip xmlns:r="http://schemas.openxmlformats.org/officeDocument/2006/relationships" r:embed="rId9"/>
            <a:srcRect/>
            <a:stretch>
              <a:fillRect/>
            </a:stretch>
          </xdr:blipFill>
          <xdr:spPr bwMode="auto">
            <a:xfrm>
              <a:off x="9251488" y="7814375"/>
              <a:ext cx="2440637" cy="478848"/>
            </a:xfrm>
            <a:prstGeom prst="rect">
              <a:avLst/>
            </a:prstGeom>
            <a:noFill/>
            <a:extLst>
              <a:ext uri="{909E8E84-426E-40DD-AFC4-6F175D3DCCD1}">
                <a14:hiddenFill>
                  <a:solidFill>
                    <a:srgbClr val="FFFFFF"/>
                  </a:solidFill>
                </a14:hiddenFill>
              </a:ext>
            </a:extLst>
          </xdr:spPr>
        </xdr:pic>
        <xdr:clientData/>
      </xdr:oneCellAnchor>
    </mc:Choice>
    <mc:Fallback/>
  </mc:AlternateContent>
  <xdr:twoCellAnchor>
    <xdr:from>
      <xdr:col>1</xdr:col>
      <xdr:colOff>0</xdr:colOff>
      <xdr:row>118</xdr:row>
      <xdr:rowOff>845343</xdr:rowOff>
    </xdr:from>
    <xdr:to>
      <xdr:col>6</xdr:col>
      <xdr:colOff>214311</xdr:colOff>
      <xdr:row>144</xdr:row>
      <xdr:rowOff>147374</xdr:rowOff>
    </xdr:to>
    <xdr:graphicFrame macro="">
      <xdr:nvGraphicFramePr>
        <xdr:cNvPr id="18" name="Grafiek 17">
          <a:extLst>
            <a:ext uri="{FF2B5EF4-FFF2-40B4-BE49-F238E27FC236}">
              <a16:creationId xmlns:a16="http://schemas.microsoft.com/office/drawing/2014/main" xmlns=""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571501</xdr:colOff>
      <xdr:row>150</xdr:row>
      <xdr:rowOff>100853</xdr:rowOff>
    </xdr:from>
    <xdr:to>
      <xdr:col>17</xdr:col>
      <xdr:colOff>212912</xdr:colOff>
      <xdr:row>191</xdr:row>
      <xdr:rowOff>44823</xdr:rowOff>
    </xdr:to>
    <xdr:graphicFrame macro="">
      <xdr:nvGraphicFramePr>
        <xdr:cNvPr id="22" name="Grafiek 21">
          <a:extLst>
            <a:ext uri="{FF2B5EF4-FFF2-40B4-BE49-F238E27FC236}">
              <a16:creationId xmlns:a16="http://schemas.microsoft.com/office/drawing/2014/main" xmlns=""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590549</xdr:colOff>
          <xdr:row>90</xdr:row>
          <xdr:rowOff>114299</xdr:rowOff>
        </xdr:from>
        <xdr:to>
          <xdr:col>6</xdr:col>
          <xdr:colOff>106948</xdr:colOff>
          <xdr:row>92</xdr:row>
          <xdr:rowOff>166222</xdr:rowOff>
        </xdr:to>
        <xdr:pic>
          <xdr:nvPicPr>
            <xdr:cNvPr id="19" name="Picture 18">
              <a:extLst>
                <a:ext uri="{FF2B5EF4-FFF2-40B4-BE49-F238E27FC236}">
                  <a16:creationId xmlns:a16="http://schemas.microsoft.com/office/drawing/2014/main" xmlns="" id="{00000000-0008-0000-0000-000013000000}"/>
                </a:ext>
              </a:extLst>
            </xdr:cNvPr>
            <xdr:cNvPicPr>
              <a:picLocks noChangeAspect="1" noChangeArrowheads="1"/>
              <a:extLst>
                <a:ext uri="{84589F7E-364E-4C9E-8A38-B11213B215E9}">
                  <a14:cameraTool cellRange="Resultaatgrafiek!$X$201:$AA$202" spid="_x0000_s505998"/>
                </a:ext>
              </a:extLst>
            </xdr:cNvPicPr>
          </xdr:nvPicPr>
          <xdr:blipFill>
            <a:blip xmlns:r="http://schemas.openxmlformats.org/officeDocument/2006/relationships" r:embed="rId12"/>
            <a:srcRect/>
            <a:stretch>
              <a:fillRect/>
            </a:stretch>
          </xdr:blipFill>
          <xdr:spPr bwMode="auto">
            <a:xfrm>
              <a:off x="4376737" y="28260674"/>
              <a:ext cx="2409617" cy="43292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445292</xdr:colOff>
          <xdr:row>90</xdr:row>
          <xdr:rowOff>135732</xdr:rowOff>
        </xdr:from>
        <xdr:to>
          <xdr:col>15</xdr:col>
          <xdr:colOff>186070</xdr:colOff>
          <xdr:row>93</xdr:row>
          <xdr:rowOff>32232</xdr:rowOff>
        </xdr:to>
        <xdr:pic>
          <xdr:nvPicPr>
            <xdr:cNvPr id="12" name="Picture 11">
              <a:extLst>
                <a:ext uri="{FF2B5EF4-FFF2-40B4-BE49-F238E27FC236}">
                  <a16:creationId xmlns:a16="http://schemas.microsoft.com/office/drawing/2014/main" xmlns="" id="{00000000-0008-0000-0000-000013000000}"/>
                </a:ext>
              </a:extLst>
            </xdr:cNvPr>
            <xdr:cNvPicPr>
              <a:picLocks noChangeAspect="1" noChangeArrowheads="1"/>
              <a:extLst>
                <a:ext uri="{84589F7E-364E-4C9E-8A38-B11213B215E9}">
                  <a14:cameraTool cellRange="Resultaatgrafiek!$X$207:$AA$208" spid="_x0000_s505999"/>
                </a:ext>
              </a:extLst>
            </xdr:cNvPicPr>
          </xdr:nvPicPr>
          <xdr:blipFill>
            <a:blip xmlns:r="http://schemas.openxmlformats.org/officeDocument/2006/relationships" r:embed="rId13"/>
            <a:srcRect/>
            <a:stretch>
              <a:fillRect/>
            </a:stretch>
          </xdr:blipFill>
          <xdr:spPr bwMode="auto">
            <a:xfrm>
              <a:off x="10898980" y="28282107"/>
              <a:ext cx="2276809" cy="468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345280</xdr:colOff>
          <xdr:row>119</xdr:row>
          <xdr:rowOff>95250</xdr:rowOff>
        </xdr:from>
        <xdr:to>
          <xdr:col>15</xdr:col>
          <xdr:colOff>218866</xdr:colOff>
          <xdr:row>121</xdr:row>
          <xdr:rowOff>178593</xdr:rowOff>
        </xdr:to>
        <xdr:pic>
          <xdr:nvPicPr>
            <xdr:cNvPr id="15" name="Picture 14">
              <a:extLst>
                <a:ext uri="{FF2B5EF4-FFF2-40B4-BE49-F238E27FC236}">
                  <a16:creationId xmlns:a16="http://schemas.microsoft.com/office/drawing/2014/main" xmlns="" id="{00000000-0008-0000-0000-000013000000}"/>
                </a:ext>
              </a:extLst>
            </xdr:cNvPr>
            <xdr:cNvPicPr>
              <a:picLocks noChangeAspect="1" noChangeArrowheads="1"/>
              <a:extLst>
                <a:ext uri="{84589F7E-364E-4C9E-8A38-B11213B215E9}">
                  <a14:cameraTool cellRange="Resultaatgrafiek!$X$213:$AA$214" spid="_x0000_s506000"/>
                </a:ext>
              </a:extLst>
            </xdr:cNvPicPr>
          </xdr:nvPicPr>
          <xdr:blipFill>
            <a:blip xmlns:r="http://schemas.openxmlformats.org/officeDocument/2006/relationships" r:embed="rId14"/>
            <a:srcRect/>
            <a:stretch>
              <a:fillRect/>
            </a:stretch>
          </xdr:blipFill>
          <xdr:spPr bwMode="auto">
            <a:xfrm>
              <a:off x="10798968" y="34456688"/>
              <a:ext cx="2409617" cy="46434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638736</xdr:colOff>
          <xdr:row>151</xdr:row>
          <xdr:rowOff>59951</xdr:rowOff>
        </xdr:from>
        <xdr:to>
          <xdr:col>16</xdr:col>
          <xdr:colOff>332875</xdr:colOff>
          <xdr:row>157</xdr:row>
          <xdr:rowOff>179294</xdr:rowOff>
        </xdr:to>
        <xdr:pic>
          <xdr:nvPicPr>
            <xdr:cNvPr id="16" name="Picture 15">
              <a:extLst>
                <a:ext uri="{FF2B5EF4-FFF2-40B4-BE49-F238E27FC236}">
                  <a16:creationId xmlns:a16="http://schemas.microsoft.com/office/drawing/2014/main" xmlns="" id="{00000000-0008-0000-0000-000013000000}"/>
                </a:ext>
              </a:extLst>
            </xdr:cNvPr>
            <xdr:cNvPicPr>
              <a:picLocks noChangeAspect="1" noChangeArrowheads="1"/>
              <a:extLst>
                <a:ext uri="{84589F7E-364E-4C9E-8A38-B11213B215E9}">
                  <a14:cameraTool cellRange="Resultaatgrafiek!$X$204:$AA$205" spid="_x0000_s506001"/>
                </a:ext>
              </a:extLst>
            </xdr:cNvPicPr>
          </xdr:nvPicPr>
          <xdr:blipFill>
            <a:blip xmlns:r="http://schemas.openxmlformats.org/officeDocument/2006/relationships" r:embed="rId15"/>
            <a:srcRect/>
            <a:stretch>
              <a:fillRect/>
            </a:stretch>
          </xdr:blipFill>
          <xdr:spPr bwMode="auto">
            <a:xfrm>
              <a:off x="11116236" y="41633775"/>
              <a:ext cx="2946086" cy="1262343"/>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595312</xdr:colOff>
          <xdr:row>119</xdr:row>
          <xdr:rowOff>97632</xdr:rowOff>
        </xdr:from>
        <xdr:to>
          <xdr:col>6</xdr:col>
          <xdr:colOff>78373</xdr:colOff>
          <xdr:row>122</xdr:row>
          <xdr:rowOff>35718</xdr:rowOff>
        </xdr:to>
        <xdr:pic>
          <xdr:nvPicPr>
            <xdr:cNvPr id="14" name="Picture 13">
              <a:extLst>
                <a:ext uri="{FF2B5EF4-FFF2-40B4-BE49-F238E27FC236}">
                  <a16:creationId xmlns:a16="http://schemas.microsoft.com/office/drawing/2014/main" xmlns="" id="{00000000-0008-0000-0000-000013000000}"/>
                </a:ext>
              </a:extLst>
            </xdr:cNvPr>
            <xdr:cNvPicPr>
              <a:picLocks noChangeAspect="1" noChangeArrowheads="1"/>
              <a:extLst>
                <a:ext uri="{84589F7E-364E-4C9E-8A38-B11213B215E9}">
                  <a14:cameraTool cellRange="Resultaatgrafiek!$X$210:$AA$211" spid="_x0000_s506002"/>
                </a:ext>
              </a:extLst>
            </xdr:cNvPicPr>
          </xdr:nvPicPr>
          <xdr:blipFill>
            <a:blip xmlns:r="http://schemas.openxmlformats.org/officeDocument/2006/relationships" r:embed="rId16"/>
            <a:srcRect/>
            <a:stretch>
              <a:fillRect/>
            </a:stretch>
          </xdr:blipFill>
          <xdr:spPr bwMode="auto">
            <a:xfrm>
              <a:off x="4381500" y="34459070"/>
              <a:ext cx="2376279" cy="509586"/>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1</xdr:col>
      <xdr:colOff>1339850</xdr:colOff>
      <xdr:row>65</xdr:row>
      <xdr:rowOff>126019</xdr:rowOff>
    </xdr:to>
    <xdr:pic>
      <xdr:nvPicPr>
        <xdr:cNvPr id="2" name="Afbeelding 1">
          <a:extLst>
            <a:ext uri="{FF2B5EF4-FFF2-40B4-BE49-F238E27FC236}">
              <a16:creationId xmlns:a16="http://schemas.microsoft.com/office/drawing/2014/main" xmlns=""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049125"/>
          <a:ext cx="4332288" cy="3428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63501</xdr:colOff>
      <xdr:row>69</xdr:row>
      <xdr:rowOff>1</xdr:rowOff>
    </xdr:from>
    <xdr:to>
      <xdr:col>3</xdr:col>
      <xdr:colOff>311151</xdr:colOff>
      <xdr:row>93</xdr:row>
      <xdr:rowOff>125414</xdr:rowOff>
    </xdr:to>
    <xdr:pic>
      <xdr:nvPicPr>
        <xdr:cNvPr id="3" name="Afbeelding 2">
          <a:extLst>
            <a:ext uri="{FF2B5EF4-FFF2-40B4-BE49-F238E27FC236}">
              <a16:creationId xmlns:a16="http://schemas.microsoft.com/office/drawing/2014/main" xmlns="" id="{00000000-0008-0000-0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01" y="16081376"/>
          <a:ext cx="6176963" cy="4506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70556</xdr:colOff>
      <xdr:row>39</xdr:row>
      <xdr:rowOff>49389</xdr:rowOff>
    </xdr:from>
    <xdr:to>
      <xdr:col>6</xdr:col>
      <xdr:colOff>311856</xdr:colOff>
      <xdr:row>66</xdr:row>
      <xdr:rowOff>119239</xdr:rowOff>
    </xdr:to>
    <xdr:pic>
      <xdr:nvPicPr>
        <xdr:cNvPr id="2" name="Afbeelding 1">
          <a:extLst>
            <a:ext uri="{FF2B5EF4-FFF2-40B4-BE49-F238E27FC236}">
              <a16:creationId xmlns:a16="http://schemas.microsoft.com/office/drawing/2014/main" xmlns=""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56" y="16926278"/>
          <a:ext cx="9688689" cy="502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8654</xdr:colOff>
      <xdr:row>72</xdr:row>
      <xdr:rowOff>8092</xdr:rowOff>
    </xdr:from>
    <xdr:to>
      <xdr:col>18</xdr:col>
      <xdr:colOff>52917</xdr:colOff>
      <xdr:row>101</xdr:row>
      <xdr:rowOff>126999</xdr:rowOff>
    </xdr:to>
    <xdr:graphicFrame macro="">
      <xdr:nvGraphicFramePr>
        <xdr:cNvPr id="9" name="Grafiek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579967</xdr:colOff>
      <xdr:row>120</xdr:row>
      <xdr:rowOff>95250</xdr:rowOff>
    </xdr:from>
    <xdr:to>
      <xdr:col>11</xdr:col>
      <xdr:colOff>84667</xdr:colOff>
      <xdr:row>139</xdr:row>
      <xdr:rowOff>63499</xdr:rowOff>
    </xdr:to>
    <xdr:graphicFrame macro="">
      <xdr:nvGraphicFramePr>
        <xdr:cNvPr id="11" name="Grafiek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209551</xdr:colOff>
      <xdr:row>120</xdr:row>
      <xdr:rowOff>116415</xdr:rowOff>
    </xdr:from>
    <xdr:to>
      <xdr:col>18</xdr:col>
      <xdr:colOff>95250</xdr:colOff>
      <xdr:row>139</xdr:row>
      <xdr:rowOff>63498</xdr:rowOff>
    </xdr:to>
    <xdr:graphicFrame macro="">
      <xdr:nvGraphicFramePr>
        <xdr:cNvPr id="12" name="Grafiek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428626</xdr:colOff>
      <xdr:row>2</xdr:row>
      <xdr:rowOff>134143</xdr:rowOff>
    </xdr:from>
    <xdr:to>
      <xdr:col>1</xdr:col>
      <xdr:colOff>511173</xdr:colOff>
      <xdr:row>5</xdr:row>
      <xdr:rowOff>31749</xdr:rowOff>
    </xdr:to>
    <xdr:cxnSp macro="">
      <xdr:nvCxnSpPr>
        <xdr:cNvPr id="2" name="Gebogen verbindingslijn 1">
          <a:extLst>
            <a:ext uri="{FF2B5EF4-FFF2-40B4-BE49-F238E27FC236}">
              <a16:creationId xmlns:a16="http://schemas.microsoft.com/office/drawing/2014/main" xmlns="" id="{00000000-0008-0000-0100-000002000000}"/>
            </a:ext>
          </a:extLst>
        </xdr:cNvPr>
        <xdr:cNvCxnSpPr>
          <a:stCxn id="4" idx="1"/>
        </xdr:cNvCxnSpPr>
      </xdr:nvCxnSpPr>
      <xdr:spPr>
        <a:xfrm rot="10800000" flipV="1">
          <a:off x="6215064" y="499268"/>
          <a:ext cx="82547" cy="548481"/>
        </a:xfrm>
        <a:prstGeom prst="bentConnector2">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511172</xdr:colOff>
      <xdr:row>0</xdr:row>
      <xdr:rowOff>123825</xdr:rowOff>
    </xdr:from>
    <xdr:to>
      <xdr:col>3</xdr:col>
      <xdr:colOff>447675</xdr:colOff>
      <xdr:row>4</xdr:row>
      <xdr:rowOff>57150</xdr:rowOff>
    </xdr:to>
    <xdr:sp macro="" textlink="">
      <xdr:nvSpPr>
        <xdr:cNvPr id="4" name="Rechthoek 3">
          <a:extLst>
            <a:ext uri="{FF2B5EF4-FFF2-40B4-BE49-F238E27FC236}">
              <a16:creationId xmlns:a16="http://schemas.microsoft.com/office/drawing/2014/main" xmlns="" id="{00000000-0008-0000-0100-000004000000}"/>
            </a:ext>
          </a:extLst>
        </xdr:cNvPr>
        <xdr:cNvSpPr/>
      </xdr:nvSpPr>
      <xdr:spPr>
        <a:xfrm>
          <a:off x="6035672" y="123825"/>
          <a:ext cx="1889128" cy="1009650"/>
        </a:xfrm>
        <a:prstGeom prst="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i="1">
              <a:solidFill>
                <a:sysClr val="windowText" lastClr="000000"/>
              </a:solidFill>
            </a:rPr>
            <a:t>Gekleurde vakken zijn vrij in te vullen. Als het getal niet realistisch</a:t>
          </a:r>
          <a:r>
            <a:rPr lang="nl-NL" sz="1100" i="1" baseline="0">
              <a:solidFill>
                <a:sysClr val="windowText" lastClr="000000"/>
              </a:solidFill>
            </a:rPr>
            <a:t> is gaat het stoplicht op rood of verandert de kleur van het vak.</a:t>
          </a:r>
          <a:endParaRPr lang="nl-NL" sz="1100" i="1">
            <a:solidFill>
              <a:sysClr val="windowText" lastClr="000000"/>
            </a:solidFill>
          </a:endParaRPr>
        </a:p>
      </xdr:txBody>
    </xdr:sp>
    <xdr:clientData/>
  </xdr:twoCellAnchor>
  <xdr:twoCellAnchor editAs="oneCell">
    <xdr:from>
      <xdr:col>0</xdr:col>
      <xdr:colOff>84666</xdr:colOff>
      <xdr:row>0</xdr:row>
      <xdr:rowOff>52918</xdr:rowOff>
    </xdr:from>
    <xdr:to>
      <xdr:col>0</xdr:col>
      <xdr:colOff>2143125</xdr:colOff>
      <xdr:row>2</xdr:row>
      <xdr:rowOff>4459</xdr:rowOff>
    </xdr:to>
    <xdr:pic>
      <xdr:nvPicPr>
        <xdr:cNvPr id="5" name="Picture 81" descr="BreedofBuilds logo.jpg">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666" y="52918"/>
          <a:ext cx="2058459" cy="324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2724150</xdr:colOff>
      <xdr:row>0</xdr:row>
      <xdr:rowOff>0</xdr:rowOff>
    </xdr:from>
    <xdr:to>
      <xdr:col>3</xdr:col>
      <xdr:colOff>3714750</xdr:colOff>
      <xdr:row>2</xdr:row>
      <xdr:rowOff>119874</xdr:rowOff>
    </xdr:to>
    <xdr:pic>
      <xdr:nvPicPr>
        <xdr:cNvPr id="6" name="Afbeelding 5">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01275" y="0"/>
          <a:ext cx="990600" cy="500874"/>
        </a:xfrm>
        <a:prstGeom prst="rect">
          <a:avLst/>
        </a:prstGeom>
      </xdr:spPr>
    </xdr:pic>
    <xdr:clientData/>
  </xdr:twoCellAnchor>
  <xdr:twoCellAnchor editAs="oneCell">
    <xdr:from>
      <xdr:col>0</xdr:col>
      <xdr:colOff>333375</xdr:colOff>
      <xdr:row>110</xdr:row>
      <xdr:rowOff>47625</xdr:rowOff>
    </xdr:from>
    <xdr:to>
      <xdr:col>0</xdr:col>
      <xdr:colOff>3915126</xdr:colOff>
      <xdr:row>122</xdr:row>
      <xdr:rowOff>83344</xdr:rowOff>
    </xdr:to>
    <xdr:pic>
      <xdr:nvPicPr>
        <xdr:cNvPr id="7" name="Afbeelding 6">
          <a:extLst>
            <a:ext uri="{FF2B5EF4-FFF2-40B4-BE49-F238E27FC236}">
              <a16:creationId xmlns:a16="http://schemas.microsoft.com/office/drawing/2014/main" xmlns="" id="{00000000-0008-0000-01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3375" y="52530375"/>
          <a:ext cx="3581751" cy="2321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84666</xdr:colOff>
      <xdr:row>0</xdr:row>
      <xdr:rowOff>52917</xdr:rowOff>
    </xdr:from>
    <xdr:to>
      <xdr:col>0</xdr:col>
      <xdr:colOff>2152650</xdr:colOff>
      <xdr:row>2</xdr:row>
      <xdr:rowOff>2256</xdr:rowOff>
    </xdr:to>
    <xdr:pic>
      <xdr:nvPicPr>
        <xdr:cNvPr id="30" name="Picture 81" descr="BreedofBuilds logo.jpg">
          <a:hlinkClick xmlns:r="http://schemas.openxmlformats.org/officeDocument/2006/relationships" r:id="rId1"/>
          <a:extLst>
            <a:ext uri="{FF2B5EF4-FFF2-40B4-BE49-F238E27FC236}">
              <a16:creationId xmlns:a16="http://schemas.microsoft.com/office/drawing/2014/main" xmlns="" id="{00000000-0008-0000-0200-00001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666" y="52917"/>
          <a:ext cx="2067984" cy="326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2724150</xdr:colOff>
      <xdr:row>0</xdr:row>
      <xdr:rowOff>0</xdr:rowOff>
    </xdr:from>
    <xdr:to>
      <xdr:col>3</xdr:col>
      <xdr:colOff>3714750</xdr:colOff>
      <xdr:row>2</xdr:row>
      <xdr:rowOff>119874</xdr:rowOff>
    </xdr:to>
    <xdr:pic>
      <xdr:nvPicPr>
        <xdr:cNvPr id="6" name="Afbeelding 5">
          <a:hlinkClick xmlns:r="http://schemas.openxmlformats.org/officeDocument/2006/relationships" r:id="rId3"/>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201275" y="0"/>
          <a:ext cx="990600" cy="5008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616479</xdr:colOff>
      <xdr:row>220</xdr:row>
      <xdr:rowOff>2540000</xdr:rowOff>
    </xdr:from>
    <xdr:to>
      <xdr:col>9</xdr:col>
      <xdr:colOff>719668</xdr:colOff>
      <xdr:row>225</xdr:row>
      <xdr:rowOff>127000</xdr:rowOff>
    </xdr:to>
    <xdr:sp macro="" textlink="">
      <xdr:nvSpPr>
        <xdr:cNvPr id="3" name="Linkeraccolade 2">
          <a:extLst>
            <a:ext uri="{FF2B5EF4-FFF2-40B4-BE49-F238E27FC236}">
              <a16:creationId xmlns:a16="http://schemas.microsoft.com/office/drawing/2014/main" xmlns="" id="{00000000-0008-0000-0500-000003000000}"/>
            </a:ext>
          </a:extLst>
        </xdr:cNvPr>
        <xdr:cNvSpPr/>
      </xdr:nvSpPr>
      <xdr:spPr>
        <a:xfrm>
          <a:off x="5961062" y="22479000"/>
          <a:ext cx="2664356" cy="1598083"/>
        </a:xfrm>
        <a:prstGeom prst="leftBrace">
          <a:avLst>
            <a:gd name="adj1" fmla="val 8333"/>
            <a:gd name="adj2" fmla="val 42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nl-NL" sz="1100"/>
        </a:p>
      </xdr:txBody>
    </xdr:sp>
    <xdr:clientData/>
  </xdr:twoCellAnchor>
  <xdr:twoCellAnchor>
    <xdr:from>
      <xdr:col>0</xdr:col>
      <xdr:colOff>31750</xdr:colOff>
      <xdr:row>162</xdr:row>
      <xdr:rowOff>264583</xdr:rowOff>
    </xdr:from>
    <xdr:to>
      <xdr:col>16</xdr:col>
      <xdr:colOff>352425</xdr:colOff>
      <xdr:row>204</xdr:row>
      <xdr:rowOff>137582</xdr:rowOff>
    </xdr:to>
    <xdr:graphicFrame macro="">
      <xdr:nvGraphicFramePr>
        <xdr:cNvPr id="9" name="Grafiek 1">
          <a:extLst>
            <a:ext uri="{FF2B5EF4-FFF2-40B4-BE49-F238E27FC236}">
              <a16:creationId xmlns:a16="http://schemas.microsoft.com/office/drawing/2014/main" xmlns="" id="{00000000-0008-0000-05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13</xdr:col>
          <xdr:colOff>13607</xdr:colOff>
          <xdr:row>166</xdr:row>
          <xdr:rowOff>159338</xdr:rowOff>
        </xdr:from>
        <xdr:to>
          <xdr:col>15</xdr:col>
          <xdr:colOff>449036</xdr:colOff>
          <xdr:row>169</xdr:row>
          <xdr:rowOff>95249</xdr:rowOff>
        </xdr:to>
        <xdr:pic>
          <xdr:nvPicPr>
            <xdr:cNvPr id="15" name="Afbeelding 14">
              <a:extLst>
                <a:ext uri="{FF2B5EF4-FFF2-40B4-BE49-F238E27FC236}">
                  <a16:creationId xmlns:a16="http://schemas.microsoft.com/office/drawing/2014/main" xmlns="" id="{00000000-0008-0000-0500-00000F000000}"/>
                </a:ext>
              </a:extLst>
            </xdr:cNvPr>
            <xdr:cNvPicPr>
              <a:picLocks noChangeAspect="1" noChangeArrowheads="1"/>
              <a:extLst>
                <a:ext uri="{84589F7E-364E-4C9E-8A38-B11213B215E9}">
                  <a14:cameraTool cellRange="$X$201:$Y$202" spid="_x0000_s504207"/>
                </a:ext>
              </a:extLst>
            </xdr:cNvPicPr>
          </xdr:nvPicPr>
          <xdr:blipFill>
            <a:blip xmlns:r="http://schemas.openxmlformats.org/officeDocument/2006/relationships" r:embed="rId2"/>
            <a:srcRect/>
            <a:stretch>
              <a:fillRect/>
            </a:stretch>
          </xdr:blipFill>
          <xdr:spPr bwMode="auto">
            <a:xfrm>
              <a:off x="11239500" y="43049052"/>
              <a:ext cx="2381250" cy="507411"/>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24</xdr:col>
          <xdr:colOff>462643</xdr:colOff>
          <xdr:row>167</xdr:row>
          <xdr:rowOff>13228</xdr:rowOff>
        </xdr:from>
        <xdr:to>
          <xdr:col>28</xdr:col>
          <xdr:colOff>116189</xdr:colOff>
          <xdr:row>169</xdr:row>
          <xdr:rowOff>149679</xdr:rowOff>
        </xdr:to>
        <xdr:pic>
          <xdr:nvPicPr>
            <xdr:cNvPr id="13" name="Afbeelding 12">
              <a:extLst>
                <a:ext uri="{FF2B5EF4-FFF2-40B4-BE49-F238E27FC236}">
                  <a16:creationId xmlns:a16="http://schemas.microsoft.com/office/drawing/2014/main" xmlns="" id="{00000000-0008-0000-0500-00000D000000}"/>
                </a:ext>
              </a:extLst>
            </xdr:cNvPr>
            <xdr:cNvPicPr>
              <a:picLocks noChangeAspect="1" noChangeArrowheads="1"/>
              <a:extLst>
                <a:ext uri="{84589F7E-364E-4C9E-8A38-B11213B215E9}">
                  <a14:cameraTool cellRange="$X$201:$AA$202" spid="_x0000_s504208"/>
                </a:ext>
              </a:extLst>
            </xdr:cNvPicPr>
          </xdr:nvPicPr>
          <xdr:blipFill>
            <a:blip xmlns:r="http://schemas.openxmlformats.org/officeDocument/2006/relationships" r:embed="rId2"/>
            <a:srcRect/>
            <a:stretch>
              <a:fillRect/>
            </a:stretch>
          </xdr:blipFill>
          <xdr:spPr bwMode="auto">
            <a:xfrm>
              <a:off x="20002500" y="43093442"/>
              <a:ext cx="2252510" cy="517451"/>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17</xdr:col>
      <xdr:colOff>0</xdr:colOff>
      <xdr:row>164</xdr:row>
      <xdr:rowOff>0</xdr:rowOff>
    </xdr:from>
    <xdr:to>
      <xdr:col>28</xdr:col>
      <xdr:colOff>299357</xdr:colOff>
      <xdr:row>199</xdr:row>
      <xdr:rowOff>13607</xdr:rowOff>
    </xdr:to>
    <xdr:graphicFrame macro="">
      <xdr:nvGraphicFramePr>
        <xdr:cNvPr id="8" name="Grafiek 7">
          <a:extLst>
            <a:ext uri="{FF2B5EF4-FFF2-40B4-BE49-F238E27FC236}">
              <a16:creationId xmlns:a16="http://schemas.microsoft.com/office/drawing/2014/main" xmlns=""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583408</xdr:colOff>
      <xdr:row>6</xdr:row>
      <xdr:rowOff>54902</xdr:rowOff>
    </xdr:from>
    <xdr:to>
      <xdr:col>4</xdr:col>
      <xdr:colOff>746762</xdr:colOff>
      <xdr:row>12</xdr:row>
      <xdr:rowOff>11904</xdr:rowOff>
    </xdr:to>
    <xdr:cxnSp macro="">
      <xdr:nvCxnSpPr>
        <xdr:cNvPr id="4" name="Gebogen verbindingslijn 3">
          <a:extLst>
            <a:ext uri="{FF2B5EF4-FFF2-40B4-BE49-F238E27FC236}">
              <a16:creationId xmlns:a16="http://schemas.microsoft.com/office/drawing/2014/main" xmlns="" id="{00000000-0008-0000-0700-000004000000}"/>
            </a:ext>
          </a:extLst>
        </xdr:cNvPr>
        <xdr:cNvCxnSpPr>
          <a:stCxn id="5" idx="1"/>
        </xdr:cNvCxnSpPr>
      </xdr:nvCxnSpPr>
      <xdr:spPr>
        <a:xfrm rot="10800000" flipV="1">
          <a:off x="7801241" y="1779985"/>
          <a:ext cx="163354" cy="1205836"/>
        </a:xfrm>
        <a:prstGeom prst="bentConnector2">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746762</xdr:colOff>
      <xdr:row>5</xdr:row>
      <xdr:rowOff>130969</xdr:rowOff>
    </xdr:from>
    <xdr:to>
      <xdr:col>6</xdr:col>
      <xdr:colOff>1365250</xdr:colOff>
      <xdr:row>6</xdr:row>
      <xdr:rowOff>222250</xdr:rowOff>
    </xdr:to>
    <xdr:sp macro="" textlink="">
      <xdr:nvSpPr>
        <xdr:cNvPr id="5" name="Rechthoek 4">
          <a:extLst>
            <a:ext uri="{FF2B5EF4-FFF2-40B4-BE49-F238E27FC236}">
              <a16:creationId xmlns:a16="http://schemas.microsoft.com/office/drawing/2014/main" xmlns="" id="{00000000-0008-0000-0700-000005000000}"/>
            </a:ext>
          </a:extLst>
        </xdr:cNvPr>
        <xdr:cNvSpPr/>
      </xdr:nvSpPr>
      <xdr:spPr>
        <a:xfrm>
          <a:off x="7964595" y="1612636"/>
          <a:ext cx="2004905" cy="334697"/>
        </a:xfrm>
        <a:prstGeom prst="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i="1">
              <a:solidFill>
                <a:sysClr val="windowText" lastClr="000000"/>
              </a:solidFill>
            </a:rPr>
            <a:t>Gele vakken zijn vrij in te vullen</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45243</xdr:colOff>
      <xdr:row>48</xdr:row>
      <xdr:rowOff>66675</xdr:rowOff>
    </xdr:from>
    <xdr:to>
      <xdr:col>7</xdr:col>
      <xdr:colOff>495300</xdr:colOff>
      <xdr:row>85</xdr:row>
      <xdr:rowOff>11907</xdr:rowOff>
    </xdr:to>
    <xdr:pic>
      <xdr:nvPicPr>
        <xdr:cNvPr id="2" name="Afbeelding 1">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243" y="9429750"/>
          <a:ext cx="7174707" cy="7108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104774</xdr:colOff>
      <xdr:row>86</xdr:row>
      <xdr:rowOff>104773</xdr:rowOff>
    </xdr:from>
    <xdr:to>
      <xdr:col>9</xdr:col>
      <xdr:colOff>154782</xdr:colOff>
      <xdr:row>118</xdr:row>
      <xdr:rowOff>161924</xdr:rowOff>
    </xdr:to>
    <xdr:pic>
      <xdr:nvPicPr>
        <xdr:cNvPr id="3" name="Afbeelding 2">
          <a:extLst>
            <a:ext uri="{FF2B5EF4-FFF2-40B4-BE49-F238E27FC236}">
              <a16:creationId xmlns:a16="http://schemas.microsoft.com/office/drawing/2014/main" xmlns="" id="{00000000-0008-0000-0800-000003000000}"/>
            </a:ext>
          </a:extLst>
        </xdr:cNvPr>
        <xdr:cNvPicPr/>
      </xdr:nvPicPr>
      <xdr:blipFill>
        <a:blip xmlns:r="http://schemas.openxmlformats.org/officeDocument/2006/relationships" r:embed="rId2"/>
        <a:stretch>
          <a:fillRect/>
        </a:stretch>
      </xdr:blipFill>
      <xdr:spPr>
        <a:xfrm>
          <a:off x="104774" y="17506948"/>
          <a:ext cx="7991476" cy="61531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90487</xdr:colOff>
      <xdr:row>3</xdr:row>
      <xdr:rowOff>46037</xdr:rowOff>
    </xdr:from>
    <xdr:to>
      <xdr:col>5</xdr:col>
      <xdr:colOff>604575</xdr:colOff>
      <xdr:row>26</xdr:row>
      <xdr:rowOff>19050</xdr:rowOff>
    </xdr:to>
    <xdr:pic>
      <xdr:nvPicPr>
        <xdr:cNvPr id="2" name="Afbeelding 1">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87" y="673100"/>
          <a:ext cx="5967151" cy="431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619126</xdr:colOff>
      <xdr:row>111</xdr:row>
      <xdr:rowOff>188117</xdr:rowOff>
    </xdr:from>
    <xdr:to>
      <xdr:col>8</xdr:col>
      <xdr:colOff>1273969</xdr:colOff>
      <xdr:row>131</xdr:row>
      <xdr:rowOff>35719</xdr:rowOff>
    </xdr:to>
    <xdr:graphicFrame macro="">
      <xdr:nvGraphicFramePr>
        <xdr:cNvPr id="3" name="Grafiek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35</xdr:row>
      <xdr:rowOff>95250</xdr:rowOff>
    </xdr:from>
    <xdr:to>
      <xdr:col>5</xdr:col>
      <xdr:colOff>600869</xdr:colOff>
      <xdr:row>61</xdr:row>
      <xdr:rowOff>47625</xdr:rowOff>
    </xdr:to>
    <xdr:pic>
      <xdr:nvPicPr>
        <xdr:cNvPr id="2" name="Afbeelding 1">
          <a:extLst>
            <a:ext uri="{FF2B5EF4-FFF2-40B4-BE49-F238E27FC236}">
              <a16:creationId xmlns:a16="http://schemas.microsoft.com/office/drawing/2014/main" xmlns=""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410450"/>
          <a:ext cx="4857750" cy="4905375"/>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_%20Excelfiles\181017%20WKK%2020%20j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d1"/>
      <sheetName val="Blad2"/>
      <sheetName val="Blad3"/>
    </sheetNames>
    <sheetDataSet>
      <sheetData sheetId="0">
        <row r="4">
          <cell r="D4">
            <v>1998</v>
          </cell>
          <cell r="E4">
            <v>174631</v>
          </cell>
        </row>
        <row r="5">
          <cell r="D5">
            <v>1999</v>
          </cell>
          <cell r="E5">
            <v>164879</v>
          </cell>
        </row>
        <row r="6">
          <cell r="D6">
            <v>2000</v>
          </cell>
          <cell r="E6">
            <v>171704</v>
          </cell>
        </row>
        <row r="7">
          <cell r="D7">
            <v>2001</v>
          </cell>
          <cell r="E7">
            <v>181671</v>
          </cell>
        </row>
        <row r="8">
          <cell r="D8">
            <v>2002</v>
          </cell>
          <cell r="E8">
            <v>179106</v>
          </cell>
        </row>
        <row r="9">
          <cell r="D9">
            <v>2003</v>
          </cell>
          <cell r="E9">
            <v>177287</v>
          </cell>
        </row>
        <row r="10">
          <cell r="D10">
            <v>2004</v>
          </cell>
          <cell r="E10">
            <v>194190</v>
          </cell>
        </row>
        <row r="11">
          <cell r="D11">
            <v>2005</v>
          </cell>
          <cell r="E11">
            <v>200208</v>
          </cell>
        </row>
        <row r="12">
          <cell r="D12">
            <v>2006</v>
          </cell>
          <cell r="E12">
            <v>200700</v>
          </cell>
        </row>
        <row r="13">
          <cell r="D13">
            <v>2007</v>
          </cell>
          <cell r="E13">
            <v>209903</v>
          </cell>
        </row>
        <row r="14">
          <cell r="D14">
            <v>2008</v>
          </cell>
          <cell r="E14">
            <v>221017</v>
          </cell>
        </row>
        <row r="15">
          <cell r="D15">
            <v>2009</v>
          </cell>
          <cell r="E15">
            <v>228311</v>
          </cell>
        </row>
        <row r="16">
          <cell r="D16">
            <v>2010</v>
          </cell>
          <cell r="E16">
            <v>222315</v>
          </cell>
        </row>
        <row r="17">
          <cell r="D17">
            <v>2011</v>
          </cell>
          <cell r="E17">
            <v>210895</v>
          </cell>
        </row>
        <row r="18">
          <cell r="D18">
            <v>2012</v>
          </cell>
          <cell r="E18">
            <v>191196</v>
          </cell>
        </row>
        <row r="19">
          <cell r="D19">
            <v>2013</v>
          </cell>
          <cell r="E19">
            <v>180390</v>
          </cell>
        </row>
        <row r="20">
          <cell r="D20">
            <v>2014</v>
          </cell>
          <cell r="E20">
            <v>171020</v>
          </cell>
        </row>
        <row r="21">
          <cell r="D21">
            <v>2015</v>
          </cell>
          <cell r="E21">
            <v>158218</v>
          </cell>
        </row>
        <row r="22">
          <cell r="D22">
            <v>2016</v>
          </cell>
          <cell r="E22">
            <v>152029</v>
          </cell>
        </row>
        <row r="46">
          <cell r="F46">
            <v>898064</v>
          </cell>
        </row>
        <row r="47">
          <cell r="F47">
            <v>983898</v>
          </cell>
        </row>
        <row r="48">
          <cell r="F48">
            <v>1076104</v>
          </cell>
        </row>
        <row r="49">
          <cell r="F49">
            <v>961568</v>
          </cell>
        </row>
        <row r="50">
          <cell r="F50">
            <v>966027</v>
          </cell>
        </row>
        <row r="61">
          <cell r="F61">
            <v>418329</v>
          </cell>
        </row>
        <row r="62">
          <cell r="F62">
            <v>391235</v>
          </cell>
        </row>
        <row r="63">
          <cell r="F63">
            <v>457029</v>
          </cell>
        </row>
        <row r="64">
          <cell r="F64">
            <v>369275</v>
          </cell>
        </row>
        <row r="65">
          <cell r="F65">
            <v>357847</v>
          </cell>
        </row>
      </sheetData>
      <sheetData sheetId="1" refreshError="1"/>
      <sheetData sheetId="2" refreshError="1"/>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polderpv.nl/nieuws_PV131.htm" TargetMode="External"/><Relationship Id="rId1" Type="http://schemas.openxmlformats.org/officeDocument/2006/relationships/hyperlink" Target="http://statline.cbs.nl/Statweb/publication/?DM=SLNL&amp;PA=82610ned&amp;D1=a&amp;D2=5&amp;D3=23-25&amp;VW=T" TargetMode="External"/><Relationship Id="rId4"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clo.nl/indicatoren/nl0020-aanbod-en-verbruik-van-elektriciteit" TargetMode="External"/><Relationship Id="rId1" Type="http://schemas.openxmlformats.org/officeDocument/2006/relationships/hyperlink" Target="http://statline.cbs.nl/Statweb/publication/?DM=SLNL&amp;PA=37823wkk&amp;D1=13-16&amp;D2=a&amp;D3=1&amp;D4=0&amp;D5=a&amp;HDR=T,G4&amp;STB=G1,G2,G3&amp;VW=T" TargetMode="External"/><Relationship Id="rId4"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4.bin"/><Relationship Id="rId1" Type="http://schemas.openxmlformats.org/officeDocument/2006/relationships/hyperlink" Target="http://kpvvdashboard-3.blogspot.nl/2011/04/explosieve-groei-schone-voertuigen.html"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6.bin"/><Relationship Id="rId1" Type="http://schemas.openxmlformats.org/officeDocument/2006/relationships/hyperlink" Target="http://www.energieoverheid.nl/2014/05/15/factcheck-wind-op-zee-is-duurder-geworden/"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cogen.nl/publicat/WKK_de_energiebesparing_technologie_bij_uitstek_4.pdf" TargetMode="External"/><Relationship Id="rId1" Type="http://schemas.openxmlformats.org/officeDocument/2006/relationships/hyperlink" Target="http://www.clo.nl/indicatoren/nl0387-warmtekracht-vermogen" TargetMode="External"/><Relationship Id="rId4"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8" Type="http://schemas.openxmlformats.org/officeDocument/2006/relationships/hyperlink" Target="https://zoek.officielebekendmakingen.nl/stcrt-2015-18526.html" TargetMode="External"/><Relationship Id="rId13" Type="http://schemas.openxmlformats.org/officeDocument/2006/relationships/hyperlink" Target="http://www.energieoverheid.nl/2014/05/15/factcheck-wind-op-zee-is-duurder-geworden/" TargetMode="External"/><Relationship Id="rId18" Type="http://schemas.openxmlformats.org/officeDocument/2006/relationships/printerSettings" Target="../printerSettings/printerSettings9.bin"/><Relationship Id="rId3" Type="http://schemas.openxmlformats.org/officeDocument/2006/relationships/hyperlink" Target="http://www.solarmagazine.nl/nieuws-zonne-energie/klimaatmonitor-geinstalleerd-nederlands-pv-vermogen-eind-2013-665-megawatt.html" TargetMode="External"/><Relationship Id="rId7" Type="http://schemas.openxmlformats.org/officeDocument/2006/relationships/hyperlink" Target="https://www.ecn.nl/publicaties/PdfFetch.aspx?nr=ECN-E--15-052" TargetMode="External"/><Relationship Id="rId12" Type="http://schemas.openxmlformats.org/officeDocument/2006/relationships/hyperlink" Target="http://www.rvo.nl/sites/default/files/2015/02/Digitale%20Brochure%20SDE%2B%202015%20kleur.pdf" TargetMode="External"/><Relationship Id="rId17" Type="http://schemas.openxmlformats.org/officeDocument/2006/relationships/hyperlink" Target="http://www.pbl.nl/sites/default/files/cms/publicaties/pbl-2014-elektriciteitsmarkt-en-infrastructuur-bij-sterke-toename-van-hernieuwbare-energie.pdf" TargetMode="External"/><Relationship Id="rId2" Type="http://schemas.openxmlformats.org/officeDocument/2006/relationships/hyperlink" Target="http://www.rekenkamer.nl/Publicaties/Onderzoeksrapporten/Introducties/2015/04/Stimulering_van_duurzame_energieproductie_SDE" TargetMode="External"/><Relationship Id="rId16" Type="http://schemas.openxmlformats.org/officeDocument/2006/relationships/hyperlink" Target="http://verantwoordingsonderzoek.rekenkamer.nl/2013/fin/beleidsinformatie/hoge-belastinguitgaven-voor-tegenvallende-milieuwinst-zuinige-auto%E2%80%99s-1" TargetMode="External"/><Relationship Id="rId1" Type="http://schemas.openxmlformats.org/officeDocument/2006/relationships/hyperlink" Target="http://www.rijksoverheid.nl/documenten-en-publicaties/begrotingen/2014/09/16/xiii-economische-zaken-rijksbegroting-2015.html" TargetMode="External"/><Relationship Id="rId6" Type="http://schemas.openxmlformats.org/officeDocument/2006/relationships/hyperlink" Target="http://www.olino.org/wp-content/uploads/2010/12/Integratie-van-windenergie-in-het-Nederlandse-elektriciteitsysteem-in-de-context-van-de-Noordwest-Europese-elektriciteitmarkt.pdf" TargetMode="External"/><Relationship Id="rId11" Type="http://schemas.openxmlformats.org/officeDocument/2006/relationships/hyperlink" Target="http://www.rvo.nl/sites/default/files/2014/09/Digitale%20brochure%20SDE%2B%20oktober%202014%20%28kleur%29.pdf" TargetMode="External"/><Relationship Id="rId5" Type="http://schemas.openxmlformats.org/officeDocument/2006/relationships/hyperlink" Target="http://verantwoordingsonderzoek.rekenkamer.nl/2013/fin/beleidsinformatie/hoge-belastinguitgaven-voor-tegenvallende-milieuwinst-zuinige-auto%E2%80%99s-5" TargetMode="External"/><Relationship Id="rId15" Type="http://schemas.openxmlformats.org/officeDocument/2006/relationships/hyperlink" Target="http://www.rvo.nl/sites/default/files/2016/02/Brochure%20SDE%202016.pdf" TargetMode="External"/><Relationship Id="rId10" Type="http://schemas.openxmlformats.org/officeDocument/2006/relationships/hyperlink" Target="https://zoek.officielebekendmakingen.nl/kst-30196-293.odt" TargetMode="External"/><Relationship Id="rId19" Type="http://schemas.openxmlformats.org/officeDocument/2006/relationships/drawing" Target="../drawings/drawing6.xml"/><Relationship Id="rId4" Type="http://schemas.openxmlformats.org/officeDocument/2006/relationships/hyperlink" Target="http://www.nuon.nl/energieprijzen/overheidsheffingen.jsp" TargetMode="External"/><Relationship Id="rId9" Type="http://schemas.openxmlformats.org/officeDocument/2006/relationships/hyperlink" Target="https://www.ecn.nl/publicaties/PdfFetch.aspx?nr=ECN-O--16-035" TargetMode="External"/><Relationship Id="rId14" Type="http://schemas.openxmlformats.org/officeDocument/2006/relationships/hyperlink" Target="http://www.maritiemnederland.com/techniek-innovatie/windenergie-op-zee-worstelt-met-hoge-kosten/item1513"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D213"/>
  <sheetViews>
    <sheetView showGridLines="0" tabSelected="1" topLeftCell="A43" zoomScale="85" zoomScaleNormal="85" workbookViewId="0">
      <selection activeCell="T74" sqref="T74"/>
    </sheetView>
  </sheetViews>
  <sheetFormatPr defaultColWidth="9.140625" defaultRowHeight="15" x14ac:dyDescent="0.25"/>
  <cols>
    <col min="1" max="1" width="9.140625" style="311"/>
    <col min="2" max="2" width="47.7109375" style="320" customWidth="1"/>
    <col min="3" max="3" width="11.28515625" style="311" customWidth="1"/>
    <col min="4" max="4" width="10.7109375" style="311" customWidth="1"/>
    <col min="5" max="5" width="10.7109375" style="312" customWidth="1"/>
    <col min="6" max="7" width="10.7109375" style="311" customWidth="1"/>
    <col min="8" max="8" width="11.7109375" style="311" customWidth="1"/>
    <col min="9" max="9" width="10.7109375" style="311" customWidth="1"/>
    <col min="10" max="10" width="12.7109375" style="311" customWidth="1"/>
    <col min="11" max="12" width="10.7109375" style="311" customWidth="1"/>
    <col min="13" max="15" width="9.140625" style="311"/>
    <col min="16" max="16" width="10.85546875" style="311" bestFit="1" customWidth="1"/>
    <col min="17" max="20" width="9.140625" style="311"/>
    <col min="21" max="21" width="9.42578125" style="311" bestFit="1" customWidth="1"/>
    <col min="22" max="16384" width="9.140625" style="311"/>
  </cols>
  <sheetData>
    <row r="1" spans="2:11" x14ac:dyDescent="0.25">
      <c r="C1" s="817" t="s">
        <v>1149</v>
      </c>
    </row>
    <row r="2" spans="2:11" x14ac:dyDescent="0.25">
      <c r="C2" s="816" t="s">
        <v>1272</v>
      </c>
    </row>
    <row r="4" spans="2:11" s="19" customFormat="1" ht="21" x14ac:dyDescent="0.35">
      <c r="B4" s="334" t="s">
        <v>309</v>
      </c>
      <c r="C4" s="21"/>
      <c r="D4" s="21"/>
      <c r="E4" s="22"/>
      <c r="F4" s="22"/>
      <c r="G4" s="22"/>
      <c r="H4" s="22"/>
      <c r="I4" s="22"/>
      <c r="J4" s="22"/>
      <c r="K4" s="22"/>
    </row>
    <row r="5" spans="2:11" s="114" customFormat="1" ht="78.599999999999994" customHeight="1" x14ac:dyDescent="0.25">
      <c r="B5" s="1711" t="s">
        <v>439</v>
      </c>
      <c r="C5" s="1711"/>
      <c r="D5" s="1711"/>
      <c r="E5" s="1711"/>
      <c r="F5" s="1711"/>
      <c r="G5" s="1711"/>
      <c r="H5" s="1711"/>
      <c r="I5" s="1711"/>
      <c r="J5" s="1711"/>
      <c r="K5" s="1711"/>
    </row>
    <row r="6" spans="2:11" s="114" customFormat="1" ht="69.95" customHeight="1" x14ac:dyDescent="0.25">
      <c r="B6" s="1711" t="s">
        <v>1028</v>
      </c>
      <c r="C6" s="1711"/>
      <c r="D6" s="1711"/>
      <c r="E6" s="1711"/>
      <c r="F6" s="1711"/>
      <c r="G6" s="1711"/>
      <c r="H6" s="1711"/>
      <c r="I6" s="1711"/>
      <c r="J6" s="1711"/>
      <c r="K6" s="1711"/>
    </row>
    <row r="7" spans="2:11" s="319" customFormat="1" ht="35.1" customHeight="1" x14ac:dyDescent="0.25">
      <c r="B7" s="1711" t="s">
        <v>467</v>
      </c>
      <c r="C7" s="1711"/>
      <c r="D7" s="1711"/>
      <c r="E7" s="1711"/>
      <c r="F7" s="1711"/>
      <c r="G7" s="1711"/>
      <c r="H7" s="1711"/>
      <c r="I7" s="1711"/>
      <c r="J7" s="1711"/>
      <c r="K7" s="1711"/>
    </row>
    <row r="8" spans="2:11" s="114" customFormat="1" ht="52.5" customHeight="1" x14ac:dyDescent="0.25">
      <c r="B8" s="1711" t="s">
        <v>1128</v>
      </c>
      <c r="C8" s="1711"/>
      <c r="D8" s="1711"/>
      <c r="E8" s="1711"/>
      <c r="F8" s="1711"/>
      <c r="G8" s="1711"/>
      <c r="H8" s="1711"/>
      <c r="I8" s="1711"/>
      <c r="J8" s="1711"/>
      <c r="K8" s="1711"/>
    </row>
    <row r="9" spans="2:11" s="114" customFormat="1" ht="52.5" customHeight="1" x14ac:dyDescent="0.25">
      <c r="B9" s="1711" t="s">
        <v>1031</v>
      </c>
      <c r="C9" s="1711"/>
      <c r="D9" s="1711"/>
      <c r="E9" s="1711"/>
      <c r="F9" s="1711"/>
      <c r="G9" s="1711"/>
      <c r="H9" s="1711"/>
      <c r="I9" s="1711"/>
      <c r="J9" s="1711"/>
      <c r="K9" s="1711"/>
    </row>
    <row r="10" spans="2:11" s="114" customFormat="1" ht="52.5" customHeight="1" x14ac:dyDescent="0.25">
      <c r="B10" s="1714" t="s">
        <v>720</v>
      </c>
      <c r="C10" s="1714"/>
      <c r="D10" s="1714"/>
      <c r="E10" s="1714"/>
      <c r="F10" s="1714"/>
      <c r="G10" s="1714"/>
      <c r="H10" s="1714"/>
      <c r="I10" s="1714"/>
      <c r="J10" s="1714"/>
      <c r="K10" s="1714"/>
    </row>
    <row r="11" spans="2:11" s="114" customFormat="1" ht="105" customHeight="1" x14ac:dyDescent="0.25">
      <c r="B11" s="1711" t="s">
        <v>601</v>
      </c>
      <c r="C11" s="1711"/>
      <c r="D11" s="1711"/>
      <c r="E11" s="1711"/>
      <c r="F11" s="1711"/>
      <c r="G11" s="1711"/>
      <c r="H11" s="1711"/>
      <c r="I11" s="1711"/>
      <c r="J11" s="1711"/>
      <c r="K11" s="1711"/>
    </row>
    <row r="12" spans="2:11" s="114" customFormat="1" ht="87.6" customHeight="1" x14ac:dyDescent="0.25">
      <c r="B12" s="1711" t="s">
        <v>1029</v>
      </c>
      <c r="C12" s="1711"/>
      <c r="D12" s="1711"/>
      <c r="E12" s="1711"/>
      <c r="F12" s="1711"/>
      <c r="G12" s="1711"/>
      <c r="H12" s="1711"/>
      <c r="I12" s="1711"/>
      <c r="J12" s="1711"/>
      <c r="K12" s="1711"/>
    </row>
    <row r="13" spans="2:11" s="114" customFormat="1" ht="42.75" customHeight="1" x14ac:dyDescent="0.25">
      <c r="B13" s="314"/>
      <c r="C13" s="314"/>
      <c r="D13" s="314"/>
      <c r="E13" s="314"/>
      <c r="F13" s="323"/>
      <c r="G13" s="323"/>
    </row>
    <row r="14" spans="2:11" s="114" customFormat="1" ht="15.75" x14ac:dyDescent="0.25">
      <c r="B14" s="314"/>
      <c r="C14" s="314"/>
      <c r="D14" s="314"/>
      <c r="E14" s="314"/>
      <c r="F14" s="323"/>
      <c r="G14" s="323"/>
    </row>
    <row r="15" spans="2:11" s="114" customFormat="1" ht="15.75" x14ac:dyDescent="0.25">
      <c r="B15" s="314"/>
      <c r="C15" s="314"/>
      <c r="D15" s="529"/>
      <c r="E15" s="314"/>
      <c r="F15" s="323"/>
      <c r="G15" s="323"/>
    </row>
    <row r="16" spans="2:11" s="114" customFormat="1" ht="15.75" x14ac:dyDescent="0.25">
      <c r="B16" s="314"/>
      <c r="C16" s="314"/>
      <c r="D16" s="314"/>
      <c r="E16" s="314"/>
      <c r="F16" s="323"/>
      <c r="G16" s="323"/>
    </row>
    <row r="17" spans="2:7" s="114" customFormat="1" ht="15.75" x14ac:dyDescent="0.25">
      <c r="B17" s="314"/>
      <c r="C17" s="314"/>
      <c r="D17" s="314"/>
      <c r="E17" s="314"/>
      <c r="F17" s="323"/>
      <c r="G17" s="323"/>
    </row>
    <row r="18" spans="2:7" s="114" customFormat="1" ht="15.75" x14ac:dyDescent="0.25">
      <c r="B18" s="314"/>
      <c r="C18" s="314"/>
      <c r="D18" s="314"/>
      <c r="E18" s="314"/>
      <c r="F18" s="323"/>
      <c r="G18" s="323"/>
    </row>
    <row r="19" spans="2:7" s="114" customFormat="1" ht="13.5" customHeight="1" x14ac:dyDescent="0.25">
      <c r="B19" s="314"/>
      <c r="C19" s="314"/>
      <c r="D19" s="314"/>
      <c r="E19" s="314"/>
      <c r="F19" s="323"/>
      <c r="G19" s="323"/>
    </row>
    <row r="20" spans="2:7" s="114" customFormat="1" ht="15.75" x14ac:dyDescent="0.25">
      <c r="B20" s="314"/>
      <c r="C20" s="314"/>
      <c r="D20" s="314"/>
      <c r="E20" s="314"/>
      <c r="F20" s="323"/>
      <c r="G20" s="323"/>
    </row>
    <row r="21" spans="2:7" s="318" customFormat="1" ht="15.75" x14ac:dyDescent="0.25">
      <c r="B21" s="530"/>
      <c r="C21" s="530"/>
      <c r="D21" s="530"/>
      <c r="E21" s="530"/>
      <c r="F21" s="323"/>
      <c r="G21" s="323"/>
    </row>
    <row r="22" spans="2:7" ht="15.75" x14ac:dyDescent="0.25">
      <c r="B22" s="312"/>
      <c r="C22" s="312"/>
      <c r="D22" s="312"/>
      <c r="F22" s="323"/>
      <c r="G22" s="323"/>
    </row>
    <row r="23" spans="2:7" ht="15.75" x14ac:dyDescent="0.25">
      <c r="B23" s="312"/>
      <c r="C23" s="312"/>
      <c r="D23" s="312"/>
      <c r="F23" s="323"/>
      <c r="G23" s="323"/>
    </row>
    <row r="24" spans="2:7" x14ac:dyDescent="0.25">
      <c r="B24" s="312"/>
      <c r="C24" s="312"/>
      <c r="D24" s="312"/>
      <c r="F24" s="312"/>
      <c r="G24" s="312"/>
    </row>
    <row r="25" spans="2:7" x14ac:dyDescent="0.25">
      <c r="B25" s="312"/>
      <c r="C25" s="312"/>
      <c r="D25" s="312"/>
      <c r="F25" s="312"/>
      <c r="G25" s="312"/>
    </row>
    <row r="26" spans="2:7" x14ac:dyDescent="0.25">
      <c r="B26" s="312"/>
      <c r="C26" s="312"/>
      <c r="D26" s="312"/>
      <c r="F26" s="312"/>
      <c r="G26" s="312"/>
    </row>
    <row r="27" spans="2:7" x14ac:dyDescent="0.25">
      <c r="B27" s="312"/>
      <c r="C27" s="312"/>
      <c r="D27" s="312"/>
      <c r="F27" s="312"/>
      <c r="G27" s="312"/>
    </row>
    <row r="28" spans="2:7" x14ac:dyDescent="0.25">
      <c r="B28" s="312"/>
      <c r="C28" s="312"/>
      <c r="D28" s="312"/>
      <c r="F28" s="312"/>
      <c r="G28" s="312"/>
    </row>
    <row r="29" spans="2:7" x14ac:dyDescent="0.25">
      <c r="B29" s="313"/>
      <c r="C29" s="313"/>
      <c r="D29" s="313"/>
      <c r="E29" s="313"/>
      <c r="F29" s="313"/>
      <c r="G29" s="313"/>
    </row>
    <row r="30" spans="2:7" x14ac:dyDescent="0.25">
      <c r="B30" s="313"/>
      <c r="C30" s="313"/>
      <c r="D30" s="313"/>
      <c r="E30" s="313"/>
      <c r="F30" s="313"/>
      <c r="G30" s="313"/>
    </row>
    <row r="31" spans="2:7" x14ac:dyDescent="0.25">
      <c r="B31" s="313"/>
      <c r="C31" s="313"/>
      <c r="D31" s="313"/>
      <c r="E31" s="313"/>
      <c r="F31" s="313"/>
      <c r="G31" s="313"/>
    </row>
    <row r="32" spans="2:7" x14ac:dyDescent="0.25">
      <c r="B32" s="313"/>
      <c r="C32" s="313"/>
      <c r="D32" s="313"/>
      <c r="E32" s="313"/>
      <c r="F32" s="313"/>
      <c r="G32" s="313"/>
    </row>
    <row r="33" spans="2:7" x14ac:dyDescent="0.25">
      <c r="B33" s="313"/>
      <c r="C33" s="313"/>
      <c r="D33" s="313"/>
      <c r="E33" s="313"/>
      <c r="F33" s="313"/>
      <c r="G33" s="313"/>
    </row>
    <row r="34" spans="2:7" x14ac:dyDescent="0.25">
      <c r="B34" s="313"/>
      <c r="C34" s="313"/>
      <c r="D34" s="313"/>
      <c r="E34" s="313"/>
      <c r="F34" s="313"/>
      <c r="G34" s="313"/>
    </row>
    <row r="35" spans="2:7" x14ac:dyDescent="0.25">
      <c r="B35" s="313"/>
      <c r="C35" s="313"/>
      <c r="D35" s="313"/>
      <c r="E35" s="313"/>
      <c r="F35" s="313"/>
      <c r="G35" s="313"/>
    </row>
    <row r="36" spans="2:7" x14ac:dyDescent="0.25">
      <c r="B36" s="531"/>
      <c r="C36" s="531"/>
      <c r="D36" s="531"/>
      <c r="E36" s="531"/>
      <c r="F36" s="531"/>
      <c r="G36" s="531"/>
    </row>
    <row r="37" spans="2:7" x14ac:dyDescent="0.25">
      <c r="B37" s="532"/>
      <c r="C37" s="532"/>
      <c r="D37" s="532"/>
      <c r="E37" s="532"/>
      <c r="F37" s="532"/>
      <c r="G37" s="532"/>
    </row>
    <row r="38" spans="2:7" x14ac:dyDescent="0.25">
      <c r="B38" s="532"/>
      <c r="C38" s="532"/>
      <c r="D38" s="532"/>
      <c r="E38" s="533"/>
      <c r="F38" s="533"/>
      <c r="G38" s="533"/>
    </row>
    <row r="39" spans="2:7" x14ac:dyDescent="0.25">
      <c r="B39" s="532"/>
      <c r="C39" s="532"/>
      <c r="D39" s="532"/>
      <c r="E39" s="533"/>
      <c r="F39" s="533"/>
      <c r="G39" s="533"/>
    </row>
    <row r="40" spans="2:7" x14ac:dyDescent="0.25">
      <c r="B40" s="532"/>
      <c r="C40" s="532"/>
      <c r="D40" s="532"/>
      <c r="E40" s="533"/>
      <c r="F40" s="533"/>
      <c r="G40" s="533"/>
    </row>
    <row r="41" spans="2:7" x14ac:dyDescent="0.25">
      <c r="B41" s="313"/>
      <c r="C41" s="313"/>
      <c r="D41" s="313"/>
      <c r="E41" s="313"/>
      <c r="F41" s="313"/>
      <c r="G41" s="313"/>
    </row>
    <row r="42" spans="2:7" x14ac:dyDescent="0.25">
      <c r="B42" s="313"/>
      <c r="C42" s="313"/>
      <c r="D42" s="313"/>
      <c r="E42" s="313"/>
      <c r="F42" s="313"/>
      <c r="G42" s="313"/>
    </row>
    <row r="43" spans="2:7" x14ac:dyDescent="0.25">
      <c r="B43" s="313"/>
      <c r="C43" s="313"/>
      <c r="D43" s="313"/>
      <c r="E43" s="313"/>
      <c r="F43" s="313"/>
      <c r="G43" s="313"/>
    </row>
    <row r="44" spans="2:7" x14ac:dyDescent="0.25">
      <c r="B44" s="531"/>
      <c r="C44" s="531"/>
      <c r="D44" s="531"/>
      <c r="E44" s="531"/>
      <c r="F44" s="531"/>
      <c r="G44" s="531"/>
    </row>
    <row r="45" spans="2:7" x14ac:dyDescent="0.25">
      <c r="B45" s="532" t="s">
        <v>416</v>
      </c>
      <c r="C45" s="532"/>
      <c r="D45" s="532"/>
      <c r="E45" s="532"/>
      <c r="F45" s="532"/>
      <c r="G45" s="532"/>
    </row>
    <row r="46" spans="2:7" x14ac:dyDescent="0.25">
      <c r="B46" s="532"/>
      <c r="C46" s="532"/>
      <c r="D46" s="532"/>
      <c r="E46" s="533"/>
      <c r="F46" s="533"/>
      <c r="G46" s="533"/>
    </row>
    <row r="47" spans="2:7" x14ac:dyDescent="0.25">
      <c r="B47" s="534"/>
      <c r="C47" s="534"/>
      <c r="D47" s="534"/>
      <c r="E47" s="535"/>
      <c r="F47" s="535"/>
      <c r="G47" s="535"/>
    </row>
    <row r="48" spans="2:7" x14ac:dyDescent="0.25">
      <c r="B48" s="534"/>
      <c r="C48" s="534"/>
      <c r="D48" s="534"/>
      <c r="E48" s="535"/>
      <c r="F48" s="535"/>
      <c r="G48" s="535"/>
    </row>
    <row r="49" spans="2:30" x14ac:dyDescent="0.25">
      <c r="B49" s="534"/>
      <c r="C49" s="534"/>
      <c r="D49" s="534"/>
      <c r="E49" s="535"/>
      <c r="F49" s="535"/>
      <c r="G49" s="535"/>
    </row>
    <row r="50" spans="2:30" x14ac:dyDescent="0.25">
      <c r="B50" s="536"/>
      <c r="C50" s="537"/>
      <c r="D50" s="538"/>
      <c r="E50" s="313"/>
      <c r="F50" s="538"/>
      <c r="G50" s="538"/>
    </row>
    <row r="51" spans="2:30" x14ac:dyDescent="0.25">
      <c r="B51" s="321"/>
      <c r="C51" s="19"/>
      <c r="D51" s="19"/>
      <c r="E51" s="313"/>
      <c r="F51" s="19"/>
      <c r="G51" s="19"/>
    </row>
    <row r="52" spans="2:30" ht="31.5" x14ac:dyDescent="0.5">
      <c r="B52" s="629" t="s">
        <v>542</v>
      </c>
      <c r="C52" s="19"/>
      <c r="D52" s="19"/>
      <c r="E52" s="19"/>
      <c r="F52" s="19"/>
      <c r="G52" s="19"/>
    </row>
    <row r="53" spans="2:30" ht="211.5" customHeight="1" x14ac:dyDescent="0.25">
      <c r="B53" s="1656"/>
      <c r="C53" s="1657" t="s">
        <v>8</v>
      </c>
      <c r="D53" s="1657" t="str">
        <f>+Resultaatgrafiek!D48</f>
        <v>aandeel in duurzame opwek doelstelling (2020  - met WoZ per 2023)</v>
      </c>
      <c r="E53" s="1658" t="str">
        <f>+Resultaatgrafiek!E48</f>
        <v>uitgaven per % duurzame opwek  (*mln €)</v>
      </c>
      <c r="F53" s="1658" t="str">
        <f>+Resultaatgrafiek!F48</f>
        <v>uitgaven in 2020 (WoZ 2023) (*mln €)</v>
      </c>
      <c r="G53" s="1658" t="str">
        <f>+Resultaatgrafiek!G48</f>
        <v xml:space="preserve">PJ duurzame opwek + PJ energiebesparing per jaar in 2020 tov 2003 (WoZ in 2023) </v>
      </c>
      <c r="H53" s="1658" t="str">
        <f>+Resultaatgrafiek!H48</f>
        <v>uitgaven per PJ duurzame opwek per jaar in 2020 (WoZ 2023) (*mln €)</v>
      </c>
      <c r="I53" s="1658" t="str">
        <f>+Resultaatgrafiek!I48</f>
        <v>GWh duurz opwek per jaar in 2020 (WoZ 2023)</v>
      </c>
      <c r="J53" s="1658" t="str">
        <f>+Resultaatgrafiek!J48</f>
        <v>tonCO2 emissiereductie / GWh opgewekt (= emissie niet duurzaam -/- emissie duurzaam)</v>
      </c>
      <c r="K53" s="1658" t="str">
        <f>+Resultaatgrafiek!K48</f>
        <v xml:space="preserve">mln ton CO2 gereduceerd per jaar in 2020 tov 2003 (WoZ 2023) </v>
      </c>
      <c r="L53" s="1658" t="str">
        <f>+Resultaatgrafiek!L48</f>
        <v>uitgaven per ton CO2 reductie in 2020</v>
      </c>
      <c r="M53" s="1658" t="str">
        <f>+Resultaatgrafiek!N48</f>
        <v>uitgaven per ton CO2 reductie - 2017 SDE tarieven</v>
      </c>
      <c r="N53" s="1659"/>
      <c r="O53" s="1655"/>
      <c r="P53" s="1654"/>
      <c r="Q53" s="1654"/>
      <c r="R53" s="1654"/>
      <c r="S53" s="1654"/>
    </row>
    <row r="54" spans="2:30" ht="31.5" x14ac:dyDescent="0.25">
      <c r="B54" s="1249" t="str">
        <f>+Resultaatgrafiek!A49</f>
        <v>Onderdeel</v>
      </c>
      <c r="C54" s="1250" t="str">
        <f>+Resultaatgrafiek!C49</f>
        <v>*mln €</v>
      </c>
      <c r="D54" s="1251" t="str">
        <f>+Resultaatgrafiek!D49</f>
        <v>%</v>
      </c>
      <c r="E54" s="1252" t="str">
        <f>+Resultaatgrafiek!E49</f>
        <v>*mln €</v>
      </c>
      <c r="F54" s="1250" t="str">
        <f>+Resultaatgrafiek!F49</f>
        <v>*mln €</v>
      </c>
      <c r="G54" s="1251" t="str">
        <f>+Resultaatgrafiek!G49</f>
        <v>PJ</v>
      </c>
      <c r="H54" s="1252" t="str">
        <f>+Resultaatgrafiek!H49</f>
        <v>*mln €/PJ</v>
      </c>
      <c r="I54" s="1253" t="str">
        <f>+Resultaatgrafiek!I49</f>
        <v>GWh</v>
      </c>
      <c r="J54" s="1253" t="str">
        <f>+Resultaatgrafiek!J49</f>
        <v>tCO2/GWh</v>
      </c>
      <c r="K54" s="1253" t="str">
        <f>+Resultaatgrafiek!K49</f>
        <v xml:space="preserve"> mln tCO2</v>
      </c>
      <c r="L54" s="1252" t="str">
        <f>+Resultaatgrafiek!L49</f>
        <v>€/tCO2</v>
      </c>
      <c r="M54" s="1596" t="str">
        <f>+Resultaatgrafiek!N49</f>
        <v>€/tCO2</v>
      </c>
    </row>
    <row r="55" spans="2:30" ht="15.75" x14ac:dyDescent="0.25">
      <c r="B55" s="1348" t="str">
        <f>+Resultaatgrafiek!A50</f>
        <v>Waterkracht</v>
      </c>
      <c r="C55" s="1660">
        <f>+Resultaatgrafiek!C50</f>
        <v>147</v>
      </c>
      <c r="D55" s="1350">
        <f>+Resultaatgrafiek!D50</f>
        <v>1.9504950495049505E-4</v>
      </c>
      <c r="E55" s="1351">
        <f>+Resultaatgrafiek!E50</f>
        <v>7536.5482233502544</v>
      </c>
      <c r="F55" s="1349">
        <f>+Resultaatgrafiek!F50</f>
        <v>6.2593548387096778</v>
      </c>
      <c r="G55" s="1352">
        <f>+Resultaatgrafiek!G50</f>
        <v>0.39400000000000002</v>
      </c>
      <c r="H55" s="1353">
        <f>+Resultaatgrafiek!H50</f>
        <v>15.886687407892582</v>
      </c>
      <c r="I55" s="1354">
        <f>+Resultaatgrafiek!I50</f>
        <v>109.44444444444444</v>
      </c>
      <c r="J55" s="1354">
        <f>+Resultaatgrafiek!J50</f>
        <v>526</v>
      </c>
      <c r="K55" s="1355">
        <f>+Resultaatgrafiek!K50</f>
        <v>5.7567777777777773E-2</v>
      </c>
      <c r="L55" s="1351">
        <f>+Resultaatgrafiek!L50</f>
        <v>108.73017997797206</v>
      </c>
      <c r="M55" s="1351">
        <f>+Resultaatgrafiek!N50</f>
        <v>133.07984790874525</v>
      </c>
    </row>
    <row r="56" spans="2:30" ht="15.75" x14ac:dyDescent="0.25">
      <c r="B56" s="1356" t="str">
        <f>+Resultaatgrafiek!A51</f>
        <v>Wind op Land</v>
      </c>
      <c r="C56" s="1661">
        <f>+Resultaatgrafiek!C51</f>
        <v>11672.735999999999</v>
      </c>
      <c r="D56" s="1358">
        <f>+Resultaatgrafiek!D51</f>
        <v>2.6029853811881196E-2</v>
      </c>
      <c r="E56" s="1359">
        <f>+Resultaatgrafiek!E51</f>
        <v>4484.3647929640065</v>
      </c>
      <c r="F56" s="1357">
        <f>+Resultaatgrafiek!F51</f>
        <v>680.78575483870975</v>
      </c>
      <c r="G56" s="1360">
        <f>+Resultaatgrafiek!G51</f>
        <v>52.580304700000013</v>
      </c>
      <c r="H56" s="1361">
        <f>+Resultaatgrafiek!H51</f>
        <v>12.947542976842232</v>
      </c>
      <c r="I56" s="1362">
        <f>+Resultaatgrafiek!I51</f>
        <v>14605.640194444448</v>
      </c>
      <c r="J56" s="1362">
        <f>+Resultaatgrafiek!J51</f>
        <v>526</v>
      </c>
      <c r="K56" s="1363">
        <f>+Resultaatgrafiek!K51</f>
        <v>7.6825667422777792</v>
      </c>
      <c r="L56" s="1359">
        <f>+Resultaatgrafiek!L51</f>
        <v>88.614362579148363</v>
      </c>
      <c r="M56" s="1359">
        <f>+Resultaatgrafiek!N51</f>
        <v>79.847908745247167</v>
      </c>
    </row>
    <row r="57" spans="2:30" ht="15.75" x14ac:dyDescent="0.25">
      <c r="B57" s="1364" t="str">
        <f>+Resultaatgrafiek!A52</f>
        <v>Wind op Zee</v>
      </c>
      <c r="C57" s="1662">
        <f>+Resultaatgrafiek!C52</f>
        <v>12032.388999999999</v>
      </c>
      <c r="D57" s="1366">
        <f>+Resultaatgrafiek!D52</f>
        <v>3.0317948910891089E-2</v>
      </c>
      <c r="E57" s="1367">
        <f>+Resultaatgrafiek!E52</f>
        <v>3968.7345062045456</v>
      </c>
      <c r="F57" s="1365">
        <f>+Resultaatgrafiek!F52</f>
        <v>774.03187419354845</v>
      </c>
      <c r="G57" s="1368">
        <f>+Resultaatgrafiek!G52</f>
        <v>61.2422568</v>
      </c>
      <c r="H57" s="1369">
        <f>+Resultaatgrafiek!H52</f>
        <v>12.638852887497583</v>
      </c>
      <c r="I57" s="1370">
        <f>+Resultaatgrafiek!I52</f>
        <v>17011.738000000001</v>
      </c>
      <c r="J57" s="1370">
        <f>+Resultaatgrafiek!J52</f>
        <v>526</v>
      </c>
      <c r="K57" s="1371">
        <f>+Resultaatgrafiek!K52</f>
        <v>8.9481741880000012</v>
      </c>
      <c r="L57" s="1367">
        <f>+Resultaatgrafiek!L52</f>
        <v>86.501654743329453</v>
      </c>
      <c r="M57" s="1367">
        <f>+Resultaatgrafiek!N52</f>
        <v>41.825095057034225</v>
      </c>
    </row>
    <row r="58" spans="2:30" ht="15.75" x14ac:dyDescent="0.25">
      <c r="B58" s="1356" t="str">
        <f>+Resultaatgrafiek!A53</f>
        <v>Zon PV (groot)</v>
      </c>
      <c r="C58" s="1661">
        <f>+Resultaatgrafiek!C53</f>
        <v>784.85</v>
      </c>
      <c r="D58" s="1358">
        <f>+Resultaatgrafiek!D53</f>
        <v>6.201111386138614E-4</v>
      </c>
      <c r="E58" s="1359">
        <f>+Resultaatgrafiek!E53</f>
        <v>12656.602198025028</v>
      </c>
      <c r="F58" s="1357">
        <f>+Resultaatgrafiek!F53</f>
        <v>46.322903225806449</v>
      </c>
      <c r="G58" s="1360">
        <f>+Resultaatgrafiek!G53</f>
        <v>1.2526245</v>
      </c>
      <c r="H58" s="1361">
        <f>+Resultaatgrafiek!H53</f>
        <v>36.980677949222972</v>
      </c>
      <c r="I58" s="1362">
        <f>+Resultaatgrafiek!I53</f>
        <v>347.95125000000002</v>
      </c>
      <c r="J58" s="1362">
        <f>+Resultaatgrafiek!J53</f>
        <v>526</v>
      </c>
      <c r="K58" s="1363">
        <f>+Resultaatgrafiek!K53</f>
        <v>0.18302235750000001</v>
      </c>
      <c r="L58" s="1359">
        <f>+Resultaatgrafiek!L53</f>
        <v>253.09969699087964</v>
      </c>
      <c r="M58" s="1359">
        <f>+Resultaatgrafiek!N53</f>
        <v>127.37642585551332</v>
      </c>
    </row>
    <row r="59" spans="2:30" ht="15.75" x14ac:dyDescent="0.25">
      <c r="B59" s="1356" t="str">
        <f>+Resultaatgrafiek!A54</f>
        <v>Zon PV (klein)</v>
      </c>
      <c r="C59" s="1669">
        <f>+Resultaatgrafiek!C54</f>
        <v>7902.1259315963698</v>
      </c>
      <c r="D59" s="1358">
        <f>+Resultaatgrafiek!D54</f>
        <v>4.7049504950495051E-3</v>
      </c>
      <c r="E59" s="1359">
        <f>+Resultaatgrafiek!E54</f>
        <v>16795.343415219555</v>
      </c>
      <c r="F59" s="1357">
        <f>+Resultaatgrafiek!F54</f>
        <v>395.99999999999989</v>
      </c>
      <c r="G59" s="1360">
        <f>+Resultaatgrafiek!G54</f>
        <v>9.5039999999999996</v>
      </c>
      <c r="H59" s="1361">
        <f>+Resultaatgrafiek!H54</f>
        <v>41.666666666666657</v>
      </c>
      <c r="I59" s="1362">
        <f>+Resultaatgrafiek!I54</f>
        <v>2640</v>
      </c>
      <c r="J59" s="1362">
        <f>+Resultaatgrafiek!J54</f>
        <v>526</v>
      </c>
      <c r="K59" s="1363">
        <f>+Resultaatgrafiek!K54</f>
        <v>1.3886400000000001</v>
      </c>
      <c r="L59" s="1359">
        <f>+Resultaatgrafiek!L54</f>
        <v>285.17110266159688</v>
      </c>
      <c r="M59" s="1359">
        <f>+Resultaatgrafiek!N54</f>
        <v>285.17110266159705</v>
      </c>
      <c r="R59" s="3"/>
    </row>
    <row r="60" spans="2:30" ht="15.75" x14ac:dyDescent="0.25">
      <c r="B60" s="1364" t="str">
        <f>+Resultaatgrafiek!A55</f>
        <v>Zon thermisch</v>
      </c>
      <c r="C60" s="1662">
        <f>+Resultaatgrafiek!C55</f>
        <v>151.25000000000003</v>
      </c>
      <c r="D60" s="1366">
        <f>+Resultaatgrafiek!D55</f>
        <v>8.1683168316831691E-4</v>
      </c>
      <c r="E60" s="1367">
        <f>+Resultaatgrafiek!E55</f>
        <v>1851.666666666667</v>
      </c>
      <c r="F60" s="1365">
        <f>+Resultaatgrafiek!F55</f>
        <v>10.083333333333334</v>
      </c>
      <c r="G60" s="1368">
        <f>+Resultaatgrafiek!G55</f>
        <v>1.6500000000000001</v>
      </c>
      <c r="H60" s="1369">
        <f>+Resultaatgrafiek!H55</f>
        <v>6.1111111111111107</v>
      </c>
      <c r="I60" s="1370">
        <f>+Resultaatgrafiek!I55</f>
        <v>458.33333333333337</v>
      </c>
      <c r="J60" s="1370">
        <f>+Resultaatgrafiek!J55</f>
        <v>202.99597443993832</v>
      </c>
      <c r="K60" s="1371">
        <f>+Resultaatgrafiek!K55</f>
        <v>9.3039821618305069E-2</v>
      </c>
      <c r="L60" s="1367">
        <f>+Resultaatgrafiek!L55</f>
        <v>108.37653338051429</v>
      </c>
      <c r="M60" s="1367">
        <f>+Resultaatgrafiek!N55</f>
        <v>125.47528517110266</v>
      </c>
      <c r="R60" s="3"/>
      <c r="AB60" s="3"/>
      <c r="AC60" s="3"/>
      <c r="AD60" s="3"/>
    </row>
    <row r="61" spans="2:30" ht="15.75" x14ac:dyDescent="0.25">
      <c r="B61" s="1356" t="str">
        <f>+Resultaatgrafiek!A56</f>
        <v>Geothermie</v>
      </c>
      <c r="C61" s="1661">
        <f>+Resultaatgrafiek!C56</f>
        <v>1031.25</v>
      </c>
      <c r="D61" s="1358">
        <f>+Resultaatgrafiek!D56</f>
        <v>3.2178217821782176E-3</v>
      </c>
      <c r="E61" s="1359">
        <f>+Resultaatgrafiek!E56</f>
        <v>3204.8076923076924</v>
      </c>
      <c r="F61" s="1357">
        <f>+Resultaatgrafiek!F56</f>
        <v>68.749999999999986</v>
      </c>
      <c r="G61" s="1360">
        <f>+Resultaatgrafiek!G56</f>
        <v>6.5</v>
      </c>
      <c r="H61" s="1361">
        <f>+Resultaatgrafiek!H56</f>
        <v>10.576923076923075</v>
      </c>
      <c r="I61" s="1362">
        <f>+Resultaatgrafiek!I56</f>
        <v>1805.5555555555554</v>
      </c>
      <c r="J61" s="1362">
        <f>+Resultaatgrafiek!J56</f>
        <v>112.81597443993832</v>
      </c>
      <c r="K61" s="1363">
        <f>+Resultaatgrafiek!K56</f>
        <v>0.20369550940544418</v>
      </c>
      <c r="L61" s="1359">
        <f>+Resultaatgrafiek!L56</f>
        <v>337.51357700849985</v>
      </c>
      <c r="M61" s="1359">
        <f>+Resultaatgrafiek!N56</f>
        <v>103.25363682254142</v>
      </c>
      <c r="R61" s="3"/>
      <c r="T61" s="1626" t="s">
        <v>1267</v>
      </c>
      <c r="U61" s="1290">
        <v>1582</v>
      </c>
      <c r="AB61" s="3"/>
      <c r="AC61" s="3" t="s">
        <v>1266</v>
      </c>
      <c r="AD61" s="3"/>
    </row>
    <row r="62" spans="2:30" ht="15.75" x14ac:dyDescent="0.25">
      <c r="B62" s="1364" t="str">
        <f>+Resultaatgrafiek!A57</f>
        <v>WKO + warmtepompen</v>
      </c>
      <c r="C62" s="1662">
        <f>+Resultaatgrafiek!C57</f>
        <v>333.33333333333337</v>
      </c>
      <c r="D62" s="1366">
        <f>+Resultaatgrafiek!D57</f>
        <v>6.9801980198019803E-3</v>
      </c>
      <c r="E62" s="1367">
        <f>+Resultaatgrafiek!E57</f>
        <v>477.54137115839251</v>
      </c>
      <c r="F62" s="1365">
        <f>+Resultaatgrafiek!F57</f>
        <v>22.222222222222225</v>
      </c>
      <c r="G62" s="1368">
        <f>+Resultaatgrafiek!G57</f>
        <v>14.1</v>
      </c>
      <c r="H62" s="1369">
        <f>+Resultaatgrafiek!H57</f>
        <v>1.5760441292356189</v>
      </c>
      <c r="I62" s="1370">
        <f>+Resultaatgrafiek!I57</f>
        <v>3916.6666666666665</v>
      </c>
      <c r="J62" s="1370">
        <f>+Resultaatgrafiek!J57</f>
        <v>97.79597443993832</v>
      </c>
      <c r="K62" s="1371">
        <f>+Resultaatgrafiek!K57</f>
        <v>0.38303423322309177</v>
      </c>
      <c r="L62" s="1367">
        <f>+Resultaatgrafiek!L57</f>
        <v>58.016282344349285</v>
      </c>
      <c r="M62" s="1367">
        <f>+Resultaatgrafiek!N57</f>
        <v>23.764258555133079</v>
      </c>
      <c r="R62" s="3"/>
      <c r="U62" s="1675" t="s">
        <v>1265</v>
      </c>
      <c r="V62" s="1626" t="s">
        <v>1260</v>
      </c>
      <c r="W62" s="1626" t="s">
        <v>1261</v>
      </c>
      <c r="X62" s="1626" t="s">
        <v>302</v>
      </c>
      <c r="Y62" s="1626" t="s">
        <v>16</v>
      </c>
      <c r="Z62" s="1626" t="s">
        <v>16</v>
      </c>
      <c r="AB62" s="3"/>
      <c r="AC62" s="1674">
        <f>C59</f>
        <v>7902.1259315963698</v>
      </c>
      <c r="AD62" s="3"/>
    </row>
    <row r="63" spans="2:30" ht="15.75" x14ac:dyDescent="0.25">
      <c r="B63" s="1356" t="str">
        <f>+Resultaatgrafiek!A58</f>
        <v>Biomassa - tbv elektriciteit</v>
      </c>
      <c r="C63" s="1661">
        <f>+Resultaatgrafiek!C58</f>
        <v>18203.644444444442</v>
      </c>
      <c r="D63" s="1358">
        <f>+Resultaatgrafiek!D58</f>
        <v>1.9356435643564356E-2</v>
      </c>
      <c r="E63" s="1359">
        <f>+Resultaatgrafiek!E58</f>
        <v>9404.4403523728324</v>
      </c>
      <c r="F63" s="1357">
        <f>+Resultaatgrafiek!F58</f>
        <v>1190.7852903225807</v>
      </c>
      <c r="G63" s="1360">
        <f>+Resultaatgrafiek!G58</f>
        <v>39.1</v>
      </c>
      <c r="H63" s="1361">
        <f>+Resultaatgrafiek!H58</f>
        <v>30.454866760168304</v>
      </c>
      <c r="I63" s="1362">
        <f>+Resultaatgrafiek!I58</f>
        <v>10861.111111111111</v>
      </c>
      <c r="J63" s="1362">
        <f>+Resultaatgrafiek!J58</f>
        <v>337</v>
      </c>
      <c r="K63" s="1363">
        <f>+Resultaatgrafiek!K58</f>
        <v>3.6601944444444445</v>
      </c>
      <c r="L63" s="1359">
        <f>+Resultaatgrafiek!L58</f>
        <v>325.33388823918665</v>
      </c>
      <c r="M63" s="1359">
        <f>+Resultaatgrafiek!N58</f>
        <v>183.97626112759647</v>
      </c>
      <c r="O63" s="311" t="s">
        <v>1259</v>
      </c>
      <c r="P63" s="1666">
        <f>SUM(C55:C64)-C59</f>
        <v>48958.357777777775</v>
      </c>
      <c r="Q63" s="985">
        <f>P63/$P$67</f>
        <v>0.45657374670731671</v>
      </c>
      <c r="T63" s="1626" t="s">
        <v>1263</v>
      </c>
      <c r="U63" s="1673">
        <f>Q63/2</f>
        <v>0.22828687335365835</v>
      </c>
      <c r="V63" s="1673">
        <f>Q64/2</f>
        <v>0.14101313632378568</v>
      </c>
      <c r="W63" s="1673">
        <f>Q65/2</f>
        <v>0.10159084034510107</v>
      </c>
      <c r="X63" s="1673">
        <f>Q66/2</f>
        <v>2.910914997745491E-2</v>
      </c>
      <c r="Y63" s="1673">
        <f>SUM(U63:X63)</f>
        <v>0.5</v>
      </c>
      <c r="AB63" s="3"/>
      <c r="AC63" s="1674"/>
      <c r="AD63" s="3"/>
    </row>
    <row r="64" spans="2:30" ht="15.75" x14ac:dyDescent="0.25">
      <c r="B64" s="1356" t="str">
        <f>+Resultaatgrafiek!A59</f>
        <v>Biomassa - tbv warmte</v>
      </c>
      <c r="C64" s="1661">
        <f>+Resultaatgrafiek!C59</f>
        <v>4601.9049999999997</v>
      </c>
      <c r="D64" s="1358">
        <f>+Resultaatgrafiek!D59</f>
        <v>2.4752475247524754E-2</v>
      </c>
      <c r="E64" s="1359">
        <f>+Resultaatgrafiek!E59</f>
        <v>1859.1696199999997</v>
      </c>
      <c r="F64" s="1357">
        <f>+Resultaatgrafiek!F59</f>
        <v>307.46499999999997</v>
      </c>
      <c r="G64" s="1360">
        <f>+Resultaatgrafiek!G59</f>
        <v>50</v>
      </c>
      <c r="H64" s="1361">
        <f>+Resultaatgrafiek!H59</f>
        <v>6.1492999999999993</v>
      </c>
      <c r="I64" s="1362">
        <f>+Resultaatgrafiek!I59</f>
        <v>13888.888888888889</v>
      </c>
      <c r="J64" s="1362">
        <f>+Resultaatgrafiek!J59</f>
        <v>112.99597443993832</v>
      </c>
      <c r="K64" s="1363">
        <f>+Resultaatgrafiek!K59</f>
        <v>1.5693885338880322</v>
      </c>
      <c r="L64" s="1359">
        <f>+Resultaatgrafiek!L59</f>
        <v>195.91388197432568</v>
      </c>
      <c r="M64" s="1359">
        <f>+Resultaatgrafiek!N59</f>
        <v>103.21100917431191</v>
      </c>
      <c r="O64" s="311" t="s">
        <v>1260</v>
      </c>
      <c r="P64" s="1668">
        <f>AC64+C67+C69+C70</f>
        <v>30241.649368999148</v>
      </c>
      <c r="Q64" s="985">
        <f>P64/$P$67</f>
        <v>0.28202627264757135</v>
      </c>
      <c r="T64" s="1626" t="s">
        <v>1264</v>
      </c>
      <c r="U64" s="1673">
        <f>Q63/2</f>
        <v>0.22828687335365835</v>
      </c>
      <c r="V64" s="1673">
        <f>Q64/2</f>
        <v>0.14101313632378568</v>
      </c>
      <c r="W64" s="1673">
        <f>Q65/2</f>
        <v>0.10159084034510107</v>
      </c>
      <c r="X64" s="1673">
        <f>Q66/2</f>
        <v>2.910914997745491E-2</v>
      </c>
      <c r="Y64" s="1673">
        <f>SUM(U64:X64)</f>
        <v>0.5</v>
      </c>
      <c r="Z64" s="1673">
        <f>SUM(Y63:Y64)</f>
        <v>1</v>
      </c>
      <c r="AB64" s="3"/>
      <c r="AC64" s="1674">
        <f>AC62*2/3</f>
        <v>5268.0839543975799</v>
      </c>
      <c r="AD64" s="3"/>
    </row>
    <row r="65" spans="2:30" ht="15.75" x14ac:dyDescent="0.25">
      <c r="B65" s="1356" t="str">
        <f>+Resultaatgrafiek!A60</f>
        <v>Houtkachels bij particulieren</v>
      </c>
      <c r="C65" s="1672">
        <f>+Resultaatgrafiek!C60</f>
        <v>0</v>
      </c>
      <c r="D65" s="1358">
        <f>+Resultaatgrafiek!D60</f>
        <v>9.3069306930693065E-3</v>
      </c>
      <c r="E65" s="1359">
        <f>+Resultaatgrafiek!E60</f>
        <v>0</v>
      </c>
      <c r="F65" s="1357">
        <f>+Resultaatgrafiek!F60</f>
        <v>0</v>
      </c>
      <c r="G65" s="1360">
        <f>+Resultaatgrafiek!G60</f>
        <v>18.8</v>
      </c>
      <c r="H65" s="1361">
        <f>+Resultaatgrafiek!H60</f>
        <v>0</v>
      </c>
      <c r="I65" s="1362">
        <f>+Resultaatgrafiek!I60</f>
        <v>5222.2222222222217</v>
      </c>
      <c r="J65" s="1362">
        <f>+Resultaatgrafiek!J60</f>
        <v>182.99597443993832</v>
      </c>
      <c r="K65" s="1363">
        <f>+Resultaatgrafiek!K60</f>
        <v>0.95564564429745558</v>
      </c>
      <c r="L65" s="1359">
        <f>+Resultaatgrafiek!L60</f>
        <v>0</v>
      </c>
      <c r="M65" s="1359">
        <f>+Resultaatgrafiek!N60</f>
        <v>0</v>
      </c>
      <c r="O65" s="311" t="s">
        <v>1261</v>
      </c>
      <c r="P65" s="1665">
        <f>C68+AC65</f>
        <v>21787.15155844879</v>
      </c>
      <c r="Q65" s="985">
        <f>P65/$P$67</f>
        <v>0.20318168069020215</v>
      </c>
      <c r="Z65" s="1290"/>
      <c r="AB65" s="3"/>
      <c r="AC65" s="1674">
        <f>AC62/3</f>
        <v>2634.0419771987899</v>
      </c>
      <c r="AD65" s="3"/>
    </row>
    <row r="66" spans="2:30" ht="15.75" x14ac:dyDescent="0.25">
      <c r="B66" s="1364" t="str">
        <f>+Resultaatgrafiek!A61</f>
        <v>Biobrandstof bijmengen - tbv vervoer</v>
      </c>
      <c r="C66" s="1663">
        <f>+Resultaatgrafiek!C61</f>
        <v>6242.7425557466513</v>
      </c>
      <c r="D66" s="1366">
        <f>+Resultaatgrafiek!D61</f>
        <v>1.707920792079208E-2</v>
      </c>
      <c r="E66" s="1367">
        <f>+Resultaatgrafiek!E61</f>
        <v>3655.171003654561</v>
      </c>
      <c r="F66" s="1365">
        <f>+Resultaatgrafiek!F61</f>
        <v>305.21450885461547</v>
      </c>
      <c r="G66" s="1368">
        <f>+Resultaatgrafiek!G61</f>
        <v>34.5</v>
      </c>
      <c r="H66" s="1369">
        <f>+Resultaatgrafiek!H61</f>
        <v>8.8467973581047961</v>
      </c>
      <c r="I66" s="1370">
        <f>+Resultaatgrafiek!I61</f>
        <v>9583.3333333333339</v>
      </c>
      <c r="J66" s="1370">
        <f>+Resultaatgrafiek!J61</f>
        <v>174.5639034823383</v>
      </c>
      <c r="K66" s="1371">
        <f>+Resultaatgrafiek!K61</f>
        <v>1.6729040750390753</v>
      </c>
      <c r="L66" s="1367">
        <f>+Resultaatgrafiek!L61</f>
        <v>182.44591151915648</v>
      </c>
      <c r="M66" s="1367">
        <f>+Resultaatgrafiek!N61</f>
        <v>182.44591151915648</v>
      </c>
      <c r="O66" s="311" t="s">
        <v>1262</v>
      </c>
      <c r="P66" s="1667">
        <f>C66</f>
        <v>6242.7425557466513</v>
      </c>
      <c r="Q66" s="985">
        <f>P66/$P$67</f>
        <v>5.8218299954909819E-2</v>
      </c>
      <c r="T66" s="1626" t="s">
        <v>1263</v>
      </c>
      <c r="U66" s="1666">
        <f t="shared" ref="U66:X67" si="0">U63*$U$61</f>
        <v>361.14983364548749</v>
      </c>
      <c r="V66" s="1290">
        <f t="shared" si="0"/>
        <v>223.08278166422895</v>
      </c>
      <c r="W66" s="1290">
        <f t="shared" si="0"/>
        <v>160.71670942594989</v>
      </c>
      <c r="X66" s="1290">
        <f t="shared" si="0"/>
        <v>46.05067526433367</v>
      </c>
      <c r="Y66" s="1290">
        <f>SUM(U66:X66)</f>
        <v>791</v>
      </c>
      <c r="Z66" s="1290">
        <f>SUM(Y66:Y67)</f>
        <v>1582</v>
      </c>
      <c r="AB66" s="3"/>
      <c r="AC66" s="3"/>
      <c r="AD66" s="3"/>
    </row>
    <row r="67" spans="2:30" ht="15.75" customHeight="1" x14ac:dyDescent="0.25">
      <c r="B67" s="1397" t="str">
        <f>+Resultaatgrafiek!A62</f>
        <v>Schone voertuigen (inc fiscale maatregelen zuinige auto's algemeen tm 2014)</v>
      </c>
      <c r="C67" s="1670">
        <f>+Resultaatgrafiek!C62</f>
        <v>7571.68</v>
      </c>
      <c r="D67" s="1388"/>
      <c r="E67" s="1389"/>
      <c r="F67" s="1387">
        <f>+Resultaatgrafiek!F62</f>
        <v>315</v>
      </c>
      <c r="G67" s="1390">
        <f>+Resultaatgrafiek!G62</f>
        <v>35</v>
      </c>
      <c r="H67" s="1391"/>
      <c r="I67" s="1392"/>
      <c r="J67" s="1392"/>
      <c r="K67" s="1395">
        <f>F67/L67</f>
        <v>0.315</v>
      </c>
      <c r="L67" s="1396">
        <f>Resultaatgrafiek!L62</f>
        <v>1000</v>
      </c>
      <c r="M67" s="1396"/>
      <c r="P67" s="1290">
        <f>SUM(P63:P66)</f>
        <v>107229.90126097236</v>
      </c>
      <c r="Q67" s="985">
        <f>SUM(Q63:Q66)</f>
        <v>1</v>
      </c>
      <c r="T67" s="1626" t="s">
        <v>1264</v>
      </c>
      <c r="U67" s="1290">
        <f t="shared" si="0"/>
        <v>361.14983364548749</v>
      </c>
      <c r="V67" s="1290">
        <f t="shared" si="0"/>
        <v>223.08278166422895</v>
      </c>
      <c r="W67" s="1290">
        <f t="shared" si="0"/>
        <v>160.71670942594989</v>
      </c>
      <c r="X67" s="1290">
        <f t="shared" si="0"/>
        <v>46.05067526433367</v>
      </c>
      <c r="Y67" s="1290">
        <f>SUM(U67:X67)</f>
        <v>791</v>
      </c>
    </row>
    <row r="68" spans="2:30" ht="50.1" customHeight="1" x14ac:dyDescent="0.25">
      <c r="B68" s="1398" t="str">
        <f>+Resultaatgrafiek!A63</f>
        <v>Energienetwerk uitbreiden (incl. stopcontact op zee, energieopslag, netverzwaring, vervroegd afschrijven fossiele centrales)</v>
      </c>
      <c r="C68" s="1664">
        <f>+Resultaatgrafiek!C63</f>
        <v>19153.109581249999</v>
      </c>
      <c r="D68" s="1393"/>
      <c r="E68" s="1394"/>
      <c r="F68" s="1387">
        <f>+Resultaatgrafiek!F63</f>
        <v>1866.7315187499999</v>
      </c>
      <c r="G68" s="1390"/>
      <c r="H68" s="1391"/>
      <c r="I68" s="1392"/>
      <c r="J68" s="1392"/>
      <c r="K68" s="1395"/>
      <c r="L68" s="1396"/>
      <c r="M68" s="1396"/>
      <c r="R68" s="3"/>
    </row>
    <row r="69" spans="2:30" ht="15.75" x14ac:dyDescent="0.25">
      <c r="B69" s="1398" t="str">
        <f>+Resultaatgrafiek!A64</f>
        <v>Energiebesparing</v>
      </c>
      <c r="C69" s="1671">
        <f>+Resultaatgrafiek!C64</f>
        <v>15567.967414601571</v>
      </c>
      <c r="D69" s="1372"/>
      <c r="E69" s="1373"/>
      <c r="F69" s="1357">
        <f>+Resultaatgrafiek!F64</f>
        <v>715.82885308982304</v>
      </c>
      <c r="G69" s="1360">
        <f>+Resultaatgrafiek!G64</f>
        <v>195</v>
      </c>
      <c r="H69" s="1361"/>
      <c r="I69" s="1362"/>
      <c r="J69" s="1362"/>
      <c r="K69" s="1363">
        <f>+Resultaatgrafiek!K64</f>
        <v>16.280166096726919</v>
      </c>
      <c r="L69" s="1359">
        <f>+Resultaatgrafiek!L64</f>
        <v>43.969382673174223</v>
      </c>
      <c r="M69" s="1359">
        <f>+Resultaatgrafiek!N64</f>
        <v>43.969382673174223</v>
      </c>
    </row>
    <row r="70" spans="2:30" ht="15.6" customHeight="1" x14ac:dyDescent="0.25">
      <c r="B70" s="1398" t="str">
        <f>+Resultaatgrafiek!A65</f>
        <v>Overig i.e. CCS, emissiehandel en innovatie</v>
      </c>
      <c r="C70" s="1671">
        <f>+Resultaatgrafiek!C65</f>
        <v>1833.9179999999978</v>
      </c>
      <c r="D70" s="1374"/>
      <c r="E70" s="1375"/>
      <c r="F70" s="1357">
        <f>+Resultaatgrafiek!F65</f>
        <v>229.23974999999973</v>
      </c>
      <c r="G70" s="1360" t="str">
        <f>+Resultaatgrafiek!G65</f>
        <v xml:space="preserve">*)  </v>
      </c>
      <c r="H70" s="1361"/>
      <c r="I70" s="1362"/>
      <c r="J70" s="1362"/>
      <c r="K70" s="1363"/>
      <c r="L70" s="1359"/>
      <c r="M70" s="1359"/>
      <c r="P70" s="1639"/>
    </row>
    <row r="71" spans="2:30" ht="20.100000000000001" customHeight="1" x14ac:dyDescent="0.25">
      <c r="B71" s="1254" t="str">
        <f>+Resultaatgrafiek!A66</f>
        <v>TOTAAL OF GEMIDDELD</v>
      </c>
      <c r="C71" s="1276">
        <f>+Resultaatgrafiek!C66</f>
        <v>107229.90126097237</v>
      </c>
      <c r="D71" s="1275">
        <f>+Resultaatgrafiek!D66</f>
        <v>0.14337781485148515</v>
      </c>
      <c r="E71" s="1273">
        <f>+Resultaatgrafiek!E66</f>
        <v>4595.8567516305666</v>
      </c>
      <c r="F71" s="1277">
        <f>+Resultaatgrafiek!F66</f>
        <v>6934.7203636693494</v>
      </c>
      <c r="G71" s="1274">
        <f>+Resultaatgrafiek!G66</f>
        <v>519.62318600000003</v>
      </c>
      <c r="H71" s="1273"/>
      <c r="I71" s="1270">
        <f>+Resultaatgrafiek!I66</f>
        <v>80450.884999999995</v>
      </c>
      <c r="J71" s="1271"/>
      <c r="K71" s="1272">
        <f>+Resultaatgrafiek!K66</f>
        <v>43.393039424198321</v>
      </c>
      <c r="L71" s="1273"/>
      <c r="M71" s="1279"/>
      <c r="P71" s="1290"/>
    </row>
    <row r="72" spans="2:30" ht="15.75" x14ac:dyDescent="0.25">
      <c r="B72" s="1376"/>
      <c r="C72" s="318"/>
      <c r="D72" s="1377"/>
      <c r="E72" s="1377"/>
      <c r="F72" s="1377"/>
      <c r="G72" s="1377"/>
      <c r="H72" s="1377"/>
      <c r="I72" s="1378"/>
      <c r="J72" s="1379" t="str">
        <f>+Resultaatgrafiek!J67</f>
        <v>Bereikt percentage CO2-emissiereductie ten opzichte van 1990:</v>
      </c>
      <c r="K72" s="1653">
        <f>+Resultaatgrafiek!K67</f>
        <v>0.22522576810127304</v>
      </c>
      <c r="L72" s="1380"/>
    </row>
    <row r="73" spans="2:30" ht="15.75" x14ac:dyDescent="0.25">
      <c r="B73" s="1381" t="str">
        <f>+Resultaatgrafiek!G68</f>
        <v>*) Eventuele opbrengst/besparing uitgedrukt in PJ vooralsnog niet bekend</v>
      </c>
      <c r="C73" s="318"/>
      <c r="D73" s="318"/>
      <c r="E73" s="1377"/>
      <c r="F73" s="1377"/>
      <c r="G73" s="318"/>
      <c r="H73" s="1382"/>
      <c r="I73" s="1382"/>
      <c r="J73" s="318"/>
      <c r="K73" s="318"/>
    </row>
    <row r="74" spans="2:30" x14ac:dyDescent="0.25">
      <c r="E74" s="602"/>
      <c r="P74" s="1290"/>
    </row>
    <row r="75" spans="2:30" x14ac:dyDescent="0.25">
      <c r="C75" s="1290"/>
      <c r="E75" s="1291"/>
      <c r="F75" s="1292"/>
      <c r="G75" s="1291"/>
      <c r="J75" s="1290"/>
      <c r="K75" s="1293"/>
    </row>
    <row r="76" spans="2:30" ht="31.5" x14ac:dyDescent="0.5">
      <c r="B76" s="629" t="s">
        <v>500</v>
      </c>
      <c r="C76" s="643"/>
      <c r="D76" s="643"/>
      <c r="E76" s="602"/>
    </row>
    <row r="77" spans="2:30" ht="15.75" x14ac:dyDescent="0.25">
      <c r="F77" s="653" t="s">
        <v>501</v>
      </c>
      <c r="G77" s="740">
        <f>+'%Hernieuwbaar'!C3</f>
        <v>0.12891856099009902</v>
      </c>
      <c r="H77" s="643"/>
      <c r="I77" s="816" t="s">
        <v>609</v>
      </c>
    </row>
    <row r="78" spans="2:30" x14ac:dyDescent="0.25">
      <c r="F78" s="1264" t="s">
        <v>503</v>
      </c>
      <c r="G78" s="740">
        <f>+'%Hernieuwbaar'!C4</f>
        <v>0.14337781485148515</v>
      </c>
      <c r="H78" s="643"/>
      <c r="I78" s="817" t="s">
        <v>610</v>
      </c>
    </row>
    <row r="79" spans="2:30" x14ac:dyDescent="0.25">
      <c r="F79" s="1264" t="s">
        <v>502</v>
      </c>
      <c r="G79" s="665">
        <f>+Resultaatgrafiek!K67</f>
        <v>0.22522576810127304</v>
      </c>
      <c r="H79" s="643"/>
      <c r="I79" s="602"/>
    </row>
    <row r="80" spans="2:30" x14ac:dyDescent="0.25">
      <c r="B80" s="664"/>
      <c r="G80" s="664"/>
      <c r="H80" s="643"/>
      <c r="I80" s="602"/>
    </row>
    <row r="81" spans="2:11" ht="31.5" x14ac:dyDescent="0.5">
      <c r="B81" s="629" t="s">
        <v>537</v>
      </c>
      <c r="E81" s="602"/>
    </row>
    <row r="82" spans="2:11" ht="39" customHeight="1" x14ac:dyDescent="0.25">
      <c r="B82" s="1711" t="s">
        <v>541</v>
      </c>
      <c r="C82" s="1711"/>
      <c r="D82" s="1711"/>
      <c r="E82" s="1711"/>
      <c r="F82" s="1711"/>
      <c r="G82" s="1711"/>
      <c r="H82" s="1711"/>
      <c r="I82" s="1711"/>
      <c r="J82" s="1711"/>
      <c r="K82" s="1711"/>
    </row>
    <row r="83" spans="2:11" ht="15.75" x14ac:dyDescent="0.25">
      <c r="F83" s="1068" t="s">
        <v>1069</v>
      </c>
      <c r="G83" s="628">
        <f>+Resultaatmatrix!E101/1000</f>
        <v>50.572120972370904</v>
      </c>
      <c r="H83" s="310" t="s">
        <v>411</v>
      </c>
      <c r="I83" s="83" t="s">
        <v>1268</v>
      </c>
    </row>
    <row r="84" spans="2:11" ht="15.75" x14ac:dyDescent="0.25">
      <c r="B84" s="1067"/>
      <c r="C84" s="791"/>
      <c r="D84" s="310"/>
      <c r="E84" s="1069"/>
      <c r="I84" s="311" t="s">
        <v>1269</v>
      </c>
    </row>
    <row r="85" spans="2:11" ht="31.5" x14ac:dyDescent="0.5">
      <c r="B85" s="629" t="s">
        <v>539</v>
      </c>
      <c r="E85" s="602"/>
    </row>
    <row r="86" spans="2:11" ht="32.25" customHeight="1" x14ac:dyDescent="0.25">
      <c r="B86" s="1711" t="s">
        <v>538</v>
      </c>
      <c r="C86" s="1711"/>
      <c r="D86" s="1711"/>
      <c r="E86" s="1711"/>
      <c r="F86" s="1711"/>
      <c r="G86" s="1711"/>
      <c r="H86" s="1711"/>
      <c r="I86" s="1711"/>
      <c r="J86" s="1711"/>
      <c r="K86" s="1711"/>
    </row>
    <row r="87" spans="2:11" ht="18" customHeight="1" x14ac:dyDescent="0.25">
      <c r="F87" s="1265" t="str">
        <f>+Resultaatmatrix!D116</f>
        <v>Totale uitgaven 2003-2035 per gezin(4p)</v>
      </c>
      <c r="G87" s="628">
        <f>+Resultaatmatrix!E116</f>
        <v>25083.017838823944</v>
      </c>
      <c r="I87" s="554" t="s">
        <v>1270</v>
      </c>
    </row>
    <row r="88" spans="2:11" ht="15.75" x14ac:dyDescent="0.25">
      <c r="F88" s="1266" t="str">
        <f>+Resultaatmatrix!D117</f>
        <v>In 2020 per gezin(4p) p.j.</v>
      </c>
      <c r="G88" s="628">
        <f>+Resultaatmatrix!E117</f>
        <v>1581.9486751461973</v>
      </c>
      <c r="H88" s="310"/>
    </row>
    <row r="89" spans="2:11" x14ac:dyDescent="0.25">
      <c r="B89" s="584"/>
      <c r="C89" s="791"/>
      <c r="D89" s="310"/>
      <c r="E89" s="554"/>
    </row>
    <row r="90" spans="2:11" s="333" customFormat="1" ht="28.5" x14ac:dyDescent="0.25">
      <c r="B90" s="815" t="s">
        <v>575</v>
      </c>
      <c r="H90" s="1269" t="s">
        <v>661</v>
      </c>
    </row>
    <row r="91" spans="2:11" x14ac:dyDescent="0.25">
      <c r="B91" s="582"/>
      <c r="C91" s="310"/>
      <c r="D91" s="310"/>
      <c r="E91" s="554"/>
    </row>
    <row r="92" spans="2:11" x14ac:dyDescent="0.25">
      <c r="B92" s="582"/>
      <c r="C92" s="310"/>
      <c r="D92" s="310"/>
      <c r="E92" s="554"/>
    </row>
    <row r="118" spans="2:8" x14ac:dyDescent="0.25">
      <c r="B118" s="819"/>
    </row>
    <row r="119" spans="2:8" s="333" customFormat="1" ht="69" customHeight="1" x14ac:dyDescent="0.25">
      <c r="B119" s="1712" t="s">
        <v>605</v>
      </c>
      <c r="C119" s="1712"/>
      <c r="D119" s="1712"/>
      <c r="E119" s="1712"/>
      <c r="F119" s="1712"/>
      <c r="H119" s="815" t="s">
        <v>606</v>
      </c>
    </row>
    <row r="120" spans="2:8" x14ac:dyDescent="0.25">
      <c r="B120" s="582"/>
      <c r="C120" s="310"/>
      <c r="D120" s="310"/>
      <c r="E120" s="554"/>
    </row>
    <row r="121" spans="2:8" x14ac:dyDescent="0.25">
      <c r="B121" s="582"/>
      <c r="C121" s="310"/>
      <c r="D121" s="310"/>
      <c r="E121" s="554"/>
    </row>
    <row r="149" spans="2:11" ht="31.5" x14ac:dyDescent="0.5">
      <c r="B149" s="629" t="s">
        <v>607</v>
      </c>
      <c r="C149" s="643"/>
      <c r="D149" s="643"/>
    </row>
    <row r="150" spans="2:11" s="738" customFormat="1" ht="87.6" customHeight="1" x14ac:dyDescent="0.25">
      <c r="B150" s="1713" t="s">
        <v>611</v>
      </c>
      <c r="C150" s="1713"/>
      <c r="D150" s="1713"/>
      <c r="E150" s="1713"/>
      <c r="F150" s="1713"/>
      <c r="G150" s="1713"/>
      <c r="H150" s="1713"/>
      <c r="I150" s="1713"/>
      <c r="J150" s="1713"/>
      <c r="K150" s="1713"/>
    </row>
    <row r="194" spans="2:9" ht="31.5" x14ac:dyDescent="0.5">
      <c r="B194" s="629" t="s">
        <v>608</v>
      </c>
      <c r="E194" s="602"/>
    </row>
    <row r="195" spans="2:9" ht="18" customHeight="1" x14ac:dyDescent="0.25">
      <c r="F195" s="1267" t="s">
        <v>408</v>
      </c>
      <c r="G195" s="628">
        <f>+Resultaatmatrix!E126</f>
        <v>0</v>
      </c>
      <c r="H195" s="311" t="s">
        <v>1163</v>
      </c>
    </row>
    <row r="196" spans="2:9" ht="20.25" customHeight="1" x14ac:dyDescent="0.25">
      <c r="E196" s="852"/>
      <c r="F196" s="1267" t="s">
        <v>574</v>
      </c>
      <c r="G196" s="628">
        <f>+Resultaatmatrix!E127</f>
        <v>1941.7571785998741</v>
      </c>
      <c r="H196" s="554" t="s">
        <v>437</v>
      </c>
    </row>
    <row r="197" spans="2:9" ht="20.25" customHeight="1" x14ac:dyDescent="0.25">
      <c r="E197" s="852"/>
      <c r="F197" s="1267"/>
      <c r="G197" s="1267"/>
      <c r="H197" s="1267"/>
      <c r="I197" s="1267"/>
    </row>
    <row r="198" spans="2:9" ht="20.25" customHeight="1" x14ac:dyDescent="0.25">
      <c r="E198" s="852"/>
      <c r="F198" s="1267"/>
      <c r="G198" s="1267"/>
      <c r="H198" s="1267"/>
      <c r="I198" s="1267"/>
    </row>
    <row r="199" spans="2:9" ht="28.5" customHeight="1" x14ac:dyDescent="0.5">
      <c r="B199" s="629" t="s">
        <v>1160</v>
      </c>
      <c r="E199" s="852"/>
      <c r="F199" s="1267"/>
      <c r="G199" s="1267"/>
      <c r="H199" s="1267"/>
      <c r="I199" s="1267"/>
    </row>
    <row r="200" spans="2:9" ht="20.25" customHeight="1" x14ac:dyDescent="0.25">
      <c r="E200" s="852"/>
      <c r="F200" s="1267"/>
      <c r="G200" s="1267"/>
      <c r="H200" s="1267"/>
      <c r="I200" s="1267"/>
    </row>
    <row r="201" spans="2:9" x14ac:dyDescent="0.25">
      <c r="B201" s="583"/>
      <c r="C201" s="554"/>
      <c r="D201" s="554"/>
      <c r="E201" s="554"/>
      <c r="F201" s="1623" t="s">
        <v>1152</v>
      </c>
      <c r="G201" s="1625">
        <f>Resultaatgrafiek!L291</f>
        <v>70711.915226612313</v>
      </c>
      <c r="H201" s="311" t="s">
        <v>1154</v>
      </c>
    </row>
    <row r="202" spans="2:9" x14ac:dyDescent="0.25">
      <c r="F202" s="1623"/>
      <c r="G202" s="1624"/>
    </row>
    <row r="203" spans="2:9" x14ac:dyDescent="0.25">
      <c r="F203" s="1623" t="s">
        <v>1153</v>
      </c>
      <c r="G203" s="1625">
        <f>G201+C71</f>
        <v>177941.81648758467</v>
      </c>
      <c r="H203" s="311" t="s">
        <v>1164</v>
      </c>
    </row>
    <row r="204" spans="2:9" x14ac:dyDescent="0.25">
      <c r="F204" s="1623"/>
      <c r="G204" s="1623"/>
      <c r="H204" s="1623"/>
    </row>
    <row r="205" spans="2:9" x14ac:dyDescent="0.25">
      <c r="F205" s="1623"/>
      <c r="G205" s="1623"/>
      <c r="H205" s="1623"/>
    </row>
    <row r="206" spans="2:9" x14ac:dyDescent="0.25">
      <c r="F206" s="1623"/>
      <c r="G206" s="1623"/>
      <c r="H206" s="1623"/>
    </row>
    <row r="207" spans="2:9" x14ac:dyDescent="0.25">
      <c r="B207" s="1629" t="s">
        <v>1165</v>
      </c>
    </row>
    <row r="208" spans="2:9" x14ac:dyDescent="0.25">
      <c r="F208" s="1626"/>
    </row>
    <row r="209" spans="6:8" x14ac:dyDescent="0.25">
      <c r="F209" s="1623" t="s">
        <v>1155</v>
      </c>
      <c r="G209" s="1625">
        <f>Resultaatgrafiek!M291</f>
        <v>117648.8689048653</v>
      </c>
      <c r="H209" s="311" t="s">
        <v>1157</v>
      </c>
    </row>
    <row r="211" spans="6:8" x14ac:dyDescent="0.25">
      <c r="F211" s="1623" t="s">
        <v>1158</v>
      </c>
      <c r="G211" s="1625">
        <f>Resultaatgrafiek!N291</f>
        <v>79436.926367128995</v>
      </c>
      <c r="H211" s="311" t="s">
        <v>1161</v>
      </c>
    </row>
    <row r="213" spans="6:8" x14ac:dyDescent="0.25">
      <c r="F213" s="1626" t="s">
        <v>1159</v>
      </c>
      <c r="G213" s="1627">
        <f>G203+G209+G211</f>
        <v>375027.61175957893</v>
      </c>
      <c r="H213" s="311" t="s">
        <v>1162</v>
      </c>
    </row>
  </sheetData>
  <mergeCells count="12">
    <mergeCell ref="B5:K5"/>
    <mergeCell ref="B119:F119"/>
    <mergeCell ref="B150:K150"/>
    <mergeCell ref="B6:K6"/>
    <mergeCell ref="B7:K7"/>
    <mergeCell ref="B8:K8"/>
    <mergeCell ref="B9:K9"/>
    <mergeCell ref="B10:K10"/>
    <mergeCell ref="B11:K11"/>
    <mergeCell ref="B12:K12"/>
    <mergeCell ref="B82:K82"/>
    <mergeCell ref="B86:K86"/>
  </mergeCells>
  <pageMargins left="0.70866141732283472" right="0" top="0.78740157480314965" bottom="0" header="0.31496062992125984" footer="0"/>
  <pageSetup paperSize="9" scale="69" fitToHeight="0" orientation="landscape"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8"/>
  <sheetViews>
    <sheetView topLeftCell="A85" zoomScale="70" zoomScaleNormal="70" workbookViewId="0">
      <selection activeCell="N105" sqref="N105"/>
    </sheetView>
  </sheetViews>
  <sheetFormatPr defaultColWidth="9.140625" defaultRowHeight="15" x14ac:dyDescent="0.25"/>
  <cols>
    <col min="1" max="1" width="25.42578125" style="65" customWidth="1"/>
    <col min="2" max="2" width="12.42578125" style="65" customWidth="1"/>
    <col min="3" max="3" width="16.85546875" style="65" customWidth="1"/>
    <col min="4" max="4" width="13.5703125" style="65" customWidth="1"/>
    <col min="5" max="5" width="11.140625" style="65" customWidth="1"/>
    <col min="6" max="6" width="12.42578125" style="65" customWidth="1"/>
    <col min="7" max="7" width="14" style="65" customWidth="1"/>
    <col min="8" max="8" width="13.5703125" style="65" customWidth="1"/>
    <col min="9" max="9" width="14.42578125" style="65" customWidth="1"/>
    <col min="10" max="10" width="11" style="65" bestFit="1" customWidth="1"/>
    <col min="11" max="11" width="12.85546875" style="65" customWidth="1"/>
    <col min="12" max="12" width="12.140625" style="65" customWidth="1"/>
    <col min="13" max="13" width="10.42578125" style="65" customWidth="1"/>
    <col min="14" max="14" width="10.85546875" style="65" customWidth="1"/>
    <col min="15" max="15" width="12.140625" style="65" customWidth="1"/>
    <col min="16" max="16384" width="9.140625" style="65"/>
  </cols>
  <sheetData>
    <row r="1" spans="1:16" ht="21" x14ac:dyDescent="0.35">
      <c r="A1" s="196" t="s">
        <v>525</v>
      </c>
      <c r="B1" s="197"/>
      <c r="C1" s="197"/>
      <c r="D1" s="197"/>
      <c r="E1" s="197"/>
      <c r="F1" s="197"/>
      <c r="G1" s="197"/>
      <c r="H1" s="197"/>
      <c r="I1" s="197"/>
      <c r="J1" s="197"/>
      <c r="K1" s="197"/>
      <c r="L1" s="197"/>
      <c r="M1" s="197"/>
      <c r="N1" s="197"/>
    </row>
    <row r="2" spans="1:16" x14ac:dyDescent="0.25">
      <c r="A2" s="215" t="s">
        <v>335</v>
      </c>
      <c r="B2" s="956"/>
      <c r="C2" s="956"/>
      <c r="D2" s="956"/>
      <c r="E2" s="956"/>
      <c r="F2" s="956"/>
      <c r="G2" s="956"/>
      <c r="H2" s="956"/>
      <c r="I2" s="956"/>
      <c r="J2" s="956"/>
      <c r="K2" s="956"/>
      <c r="L2" s="956"/>
      <c r="M2" s="956"/>
      <c r="N2" s="956"/>
    </row>
    <row r="3" spans="1:16" s="83" customFormat="1" x14ac:dyDescent="0.25">
      <c r="A3" s="83" t="s">
        <v>842</v>
      </c>
      <c r="O3" s="190"/>
      <c r="P3" s="65"/>
    </row>
    <row r="4" spans="1:16" x14ac:dyDescent="0.25">
      <c r="A4" s="136"/>
      <c r="C4" s="763">
        <v>2008</v>
      </c>
      <c r="D4" s="763">
        <v>2009</v>
      </c>
      <c r="E4" s="763">
        <v>2010</v>
      </c>
      <c r="F4" s="763">
        <v>2011</v>
      </c>
      <c r="G4" s="763">
        <v>2012</v>
      </c>
      <c r="H4" s="763">
        <v>2013</v>
      </c>
      <c r="I4" s="764">
        <v>2014</v>
      </c>
      <c r="J4" s="763">
        <v>2015</v>
      </c>
      <c r="K4" s="763">
        <v>2016</v>
      </c>
      <c r="O4" s="765"/>
      <c r="P4" s="190"/>
    </row>
    <row r="5" spans="1:16" ht="45" x14ac:dyDescent="0.25">
      <c r="A5" s="165" t="s">
        <v>468</v>
      </c>
      <c r="C5" s="166">
        <v>1921</v>
      </c>
      <c r="D5" s="166">
        <v>1994</v>
      </c>
      <c r="E5" s="166">
        <v>2009</v>
      </c>
      <c r="F5" s="166">
        <v>2088</v>
      </c>
      <c r="G5" s="166">
        <v>2205</v>
      </c>
      <c r="H5" s="166">
        <v>2485</v>
      </c>
      <c r="I5" s="166">
        <v>2637</v>
      </c>
      <c r="J5" s="1159">
        <v>3034</v>
      </c>
      <c r="K5" s="1159">
        <f>+J5+822</f>
        <v>3856</v>
      </c>
      <c r="L5" s="203" t="s">
        <v>940</v>
      </c>
      <c r="O5" s="765"/>
      <c r="P5" s="190"/>
    </row>
    <row r="6" spans="1:16" s="102" customFormat="1" ht="60" x14ac:dyDescent="0.25">
      <c r="A6" s="1160" t="s">
        <v>946</v>
      </c>
      <c r="C6" s="125"/>
      <c r="D6" s="125"/>
      <c r="E6" s="125"/>
      <c r="F6" s="527"/>
      <c r="G6" s="1115"/>
      <c r="H6" s="1161">
        <v>9.6000000000000002E-2</v>
      </c>
      <c r="I6" s="1161">
        <v>9.5000000000000001E-2</v>
      </c>
      <c r="J6" s="1162">
        <v>0.1</v>
      </c>
      <c r="K6" s="1161">
        <v>8.5000000000000006E-2</v>
      </c>
      <c r="M6" s="765"/>
      <c r="O6" s="765"/>
      <c r="P6" s="190"/>
    </row>
    <row r="7" spans="1:16" s="102" customFormat="1" ht="30" x14ac:dyDescent="0.25">
      <c r="A7" s="165" t="s">
        <v>929</v>
      </c>
      <c r="C7" s="125"/>
      <c r="D7" s="125"/>
      <c r="E7" s="527"/>
      <c r="F7" s="1115"/>
      <c r="G7" s="527"/>
      <c r="H7" s="1163">
        <v>2200</v>
      </c>
      <c r="I7" s="1163">
        <v>2200</v>
      </c>
      <c r="J7" s="1163">
        <v>2350</v>
      </c>
      <c r="K7" s="1163">
        <v>2200</v>
      </c>
      <c r="L7" s="1125" t="s">
        <v>942</v>
      </c>
      <c r="O7" s="765"/>
      <c r="P7" s="190"/>
    </row>
    <row r="8" spans="1:16" s="102" customFormat="1" x14ac:dyDescent="0.25">
      <c r="E8" s="201"/>
      <c r="F8" s="202"/>
      <c r="G8" s="201"/>
      <c r="I8" s="201"/>
      <c r="L8" s="765"/>
      <c r="O8" s="765"/>
      <c r="P8" s="190"/>
    </row>
    <row r="9" spans="1:16" s="102" customFormat="1" x14ac:dyDescent="0.25">
      <c r="E9" s="201"/>
      <c r="F9" s="202"/>
      <c r="G9" s="201"/>
      <c r="I9" s="201"/>
      <c r="L9" s="765"/>
      <c r="O9" s="765"/>
      <c r="P9" s="190"/>
    </row>
    <row r="10" spans="1:16" x14ac:dyDescent="0.25">
      <c r="A10" s="203" t="s">
        <v>346</v>
      </c>
      <c r="B10" s="204"/>
      <c r="D10" s="205">
        <f>+Uitgangspunten!B11</f>
        <v>6000</v>
      </c>
      <c r="E10" s="206" t="s">
        <v>248</v>
      </c>
      <c r="L10" s="766"/>
      <c r="O10" s="765"/>
      <c r="P10" s="190"/>
    </row>
    <row r="11" spans="1:16" x14ac:dyDescent="0.25">
      <c r="A11" s="203" t="s">
        <v>1016</v>
      </c>
      <c r="B11" s="204"/>
      <c r="D11" s="143">
        <f>IF((D10-J5)&lt;0,0,D10-J5)</f>
        <v>2966</v>
      </c>
      <c r="E11" s="206" t="s">
        <v>11</v>
      </c>
      <c r="J11" s="121"/>
      <c r="O11" s="765"/>
      <c r="P11" s="190"/>
    </row>
    <row r="12" spans="1:16" x14ac:dyDescent="0.25">
      <c r="A12" s="65" t="s">
        <v>1017</v>
      </c>
      <c r="B12" s="206"/>
      <c r="D12" s="207">
        <f>+D11/4</f>
        <v>741.5</v>
      </c>
      <c r="E12" s="208" t="s">
        <v>469</v>
      </c>
      <c r="F12" s="208"/>
      <c r="I12" s="204"/>
      <c r="J12" s="223"/>
      <c r="O12" s="765"/>
      <c r="P12" s="190"/>
    </row>
    <row r="13" spans="1:16" x14ac:dyDescent="0.25">
      <c r="B13" s="206"/>
      <c r="E13" s="204"/>
      <c r="F13" s="208"/>
      <c r="G13" s="208"/>
      <c r="I13" s="204"/>
      <c r="J13" s="208"/>
      <c r="K13" s="208"/>
      <c r="O13" s="766"/>
      <c r="P13" s="635"/>
    </row>
    <row r="14" spans="1:16" x14ac:dyDescent="0.25">
      <c r="A14" s="65" t="s">
        <v>353</v>
      </c>
      <c r="D14" s="205">
        <f>+Uitgangspunten!B10</f>
        <v>2200</v>
      </c>
      <c r="E14" s="65" t="s">
        <v>629</v>
      </c>
      <c r="I14" s="204"/>
      <c r="J14" s="208"/>
      <c r="K14" s="208"/>
    </row>
    <row r="15" spans="1:16" s="83" customFormat="1" x14ac:dyDescent="0.25">
      <c r="A15" s="83" t="s">
        <v>354</v>
      </c>
      <c r="D15" s="83">
        <f>+D14</f>
        <v>2200</v>
      </c>
      <c r="E15" s="83" t="s">
        <v>630</v>
      </c>
      <c r="I15" s="371"/>
      <c r="J15" s="372"/>
      <c r="K15" s="372"/>
    </row>
    <row r="16" spans="1:16" x14ac:dyDescent="0.25">
      <c r="A16" s="65" t="s">
        <v>1018</v>
      </c>
      <c r="D16" s="1297">
        <f>+Uitgangspunten!B8</f>
        <v>7.0000000000000007E-2</v>
      </c>
      <c r="E16" s="65" t="s">
        <v>271</v>
      </c>
      <c r="G16" s="1296"/>
    </row>
    <row r="17" spans="1:20" x14ac:dyDescent="0.25">
      <c r="A17" s="65" t="str">
        <f>+Uitgangspunten!A9</f>
        <v xml:space="preserve">Correctiebedrag elektriciteit (opbrengst productie grijze stroom) - gemiddeld over 2013-2020 </v>
      </c>
      <c r="D17" s="205">
        <f>+Uitgangspunten!B9</f>
        <v>2.8000000000000001E-2</v>
      </c>
      <c r="E17" s="65" t="s">
        <v>271</v>
      </c>
    </row>
    <row r="18" spans="1:20" x14ac:dyDescent="0.25">
      <c r="A18" s="65" t="s">
        <v>614</v>
      </c>
      <c r="D18" s="209">
        <f>+D16-D17</f>
        <v>4.200000000000001E-2</v>
      </c>
      <c r="E18" s="65" t="s">
        <v>271</v>
      </c>
      <c r="I18" s="143"/>
    </row>
    <row r="19" spans="1:20" x14ac:dyDescent="0.25">
      <c r="A19" s="65" t="s">
        <v>9</v>
      </c>
      <c r="D19" s="209">
        <v>15</v>
      </c>
      <c r="E19" s="65" t="s">
        <v>14</v>
      </c>
    </row>
    <row r="20" spans="1:20" ht="61.5" customHeight="1" x14ac:dyDescent="0.25">
      <c r="A20" s="1784" t="str">
        <f>+Uitgangspunten!A51</f>
        <v>Niet vergoede curtailment waterkracht, wind en grootschalig PV. Dit is beschikbare energie die niet benut kan worden omdat ze opgewekt wordt op een moment dat er geen vraag naar is.</v>
      </c>
      <c r="B20" s="1784"/>
      <c r="C20" s="1784"/>
      <c r="D20" s="826">
        <f>+Uitgangspunten!B51</f>
        <v>1.4999999999999999E-2</v>
      </c>
      <c r="I20" s="143"/>
    </row>
    <row r="21" spans="1:20" ht="90" x14ac:dyDescent="0.25">
      <c r="B21" s="208" t="s">
        <v>20</v>
      </c>
      <c r="C21" s="208"/>
      <c r="E21" s="208"/>
      <c r="O21" s="167" t="s">
        <v>13</v>
      </c>
      <c r="P21" s="171" t="s">
        <v>352</v>
      </c>
      <c r="Q21" s="171" t="s">
        <v>183</v>
      </c>
      <c r="R21" s="167" t="s">
        <v>274</v>
      </c>
    </row>
    <row r="22" spans="1:20" ht="30" x14ac:dyDescent="0.25">
      <c r="C22" s="1164" t="s">
        <v>694</v>
      </c>
      <c r="E22" s="1164" t="s">
        <v>694</v>
      </c>
      <c r="G22" s="1164" t="s">
        <v>694</v>
      </c>
      <c r="I22" s="1164" t="s">
        <v>694</v>
      </c>
      <c r="N22" s="1164" t="s">
        <v>694</v>
      </c>
      <c r="O22" s="167"/>
      <c r="P22" s="136"/>
      <c r="Q22" s="171"/>
      <c r="R22" s="167"/>
    </row>
    <row r="23" spans="1:20" x14ac:dyDescent="0.25">
      <c r="B23" s="65" t="s">
        <v>880</v>
      </c>
      <c r="C23" s="1117"/>
      <c r="D23" s="65" t="s">
        <v>881</v>
      </c>
      <c r="E23" s="1117"/>
      <c r="F23" s="65" t="s">
        <v>882</v>
      </c>
      <c r="G23" s="1117"/>
      <c r="H23" s="65" t="s">
        <v>943</v>
      </c>
      <c r="I23" s="1117"/>
      <c r="J23" s="65" t="s">
        <v>944</v>
      </c>
      <c r="M23" s="65">
        <v>2020</v>
      </c>
      <c r="N23" s="1117"/>
      <c r="O23" s="167"/>
      <c r="P23" s="136"/>
      <c r="Q23" s="171"/>
      <c r="R23" s="167"/>
    </row>
    <row r="24" spans="1:20" x14ac:dyDescent="0.25">
      <c r="A24" s="208">
        <v>2013</v>
      </c>
      <c r="B24" s="143">
        <f>+H5-G5</f>
        <v>280</v>
      </c>
      <c r="C24" s="1165">
        <f t="shared" ref="C24:C46" si="0">+B24*$H$7/10^3*(H$6-D$17)</f>
        <v>41.888000000000005</v>
      </c>
      <c r="D24" s="65">
        <v>0</v>
      </c>
      <c r="E24" s="1165">
        <f t="shared" ref="E24:E46" si="1">+D24*$I$7/10^3*(I$6-D$17)</f>
        <v>0</v>
      </c>
      <c r="F24" s="65">
        <v>0</v>
      </c>
      <c r="G24" s="1165">
        <f t="shared" ref="G24:G46" si="2">+F24*$J$7/10^3*(J$6-D$17)</f>
        <v>0</v>
      </c>
      <c r="H24" s="65">
        <v>0</v>
      </c>
      <c r="I24" s="1165">
        <f>+H24*$K$7/10^3*(K$6-D$17)</f>
        <v>0</v>
      </c>
      <c r="J24" s="65">
        <v>0</v>
      </c>
      <c r="K24" s="65">
        <v>0</v>
      </c>
      <c r="L24" s="65">
        <v>0</v>
      </c>
      <c r="M24" s="65">
        <v>0</v>
      </c>
      <c r="N24" s="1165">
        <f>SUM(J24:M24)*$D$14/10^3*(D$16-D$17)</f>
        <v>0</v>
      </c>
      <c r="O24" s="248">
        <f>SUM(J24:M24)+F24+D24+B24+H24</f>
        <v>280</v>
      </c>
      <c r="P24" s="222">
        <f>+(B24*H$7+D24*I$7+F24*J$7+H24*K$7+SUM(J24:M24)*D$15)/10^6*(100%-D$20)</f>
        <v>0.60675999999999997</v>
      </c>
      <c r="Q24" s="1119">
        <f t="shared" ref="Q24:Q46" si="3">+P24/(100%-D$20)</f>
        <v>0.61599999999999999</v>
      </c>
      <c r="R24" s="198">
        <f>+C24+E24+G24+N24+I24</f>
        <v>41.888000000000005</v>
      </c>
    </row>
    <row r="25" spans="1:20" x14ac:dyDescent="0.25">
      <c r="A25" s="208">
        <v>2014</v>
      </c>
      <c r="B25" s="65">
        <f>+B24</f>
        <v>280</v>
      </c>
      <c r="C25" s="1165">
        <f t="shared" si="0"/>
        <v>41.888000000000005</v>
      </c>
      <c r="D25" s="143">
        <f>+I5-H5</f>
        <v>152</v>
      </c>
      <c r="E25" s="1165">
        <f>+D25*$I$7/10^3*(I$6-D$17)</f>
        <v>22.404799999999998</v>
      </c>
      <c r="F25" s="65">
        <v>0</v>
      </c>
      <c r="G25" s="1165">
        <f t="shared" si="2"/>
        <v>0</v>
      </c>
      <c r="H25" s="65">
        <v>0</v>
      </c>
      <c r="I25" s="1165">
        <f t="shared" ref="I25:I46" si="4">+H25*$K$7/10^3*(K$6-D$17)</f>
        <v>0</v>
      </c>
      <c r="J25" s="65">
        <v>0</v>
      </c>
      <c r="K25" s="65">
        <v>0</v>
      </c>
      <c r="L25" s="65">
        <v>0</v>
      </c>
      <c r="M25" s="65">
        <v>0</v>
      </c>
      <c r="N25" s="1165">
        <f t="shared" ref="N25:N46" si="5">SUM(J25:M25)*$D$14/10^3*(D$16-D$17)</f>
        <v>0</v>
      </c>
      <c r="O25" s="248">
        <f t="shared" ref="O25:O46" si="6">SUM(J25:M25)+F25+D25+B25+H25</f>
        <v>432</v>
      </c>
      <c r="P25" s="222">
        <f t="shared" ref="P25:P46" si="7">+(B25*H$7+D25*I$7+F25*J$7+H25*K$7+SUM(J25:M25)*D$15)/10^6*(100%-D$20)</f>
        <v>0.93614399999999998</v>
      </c>
      <c r="Q25" s="1119">
        <f t="shared" si="3"/>
        <v>0.95040000000000002</v>
      </c>
      <c r="R25" s="198">
        <f t="shared" ref="R25:R46" si="8">+C25+E25+G25+N25+I25</f>
        <v>64.2928</v>
      </c>
    </row>
    <row r="26" spans="1:20" x14ac:dyDescent="0.25">
      <c r="A26" s="208">
        <v>2015</v>
      </c>
      <c r="B26" s="65">
        <f t="shared" ref="B26:B38" si="9">+B25</f>
        <v>280</v>
      </c>
      <c r="C26" s="1165">
        <f t="shared" si="0"/>
        <v>41.888000000000005</v>
      </c>
      <c r="D26" s="211">
        <f>+D25</f>
        <v>152</v>
      </c>
      <c r="E26" s="1165">
        <f t="shared" si="1"/>
        <v>22.404799999999998</v>
      </c>
      <c r="F26" s="211">
        <f>+J5-I5</f>
        <v>397</v>
      </c>
      <c r="G26" s="1165">
        <f t="shared" si="2"/>
        <v>67.17240000000001</v>
      </c>
      <c r="H26" s="211">
        <v>0</v>
      </c>
      <c r="I26" s="1165">
        <f t="shared" si="4"/>
        <v>0</v>
      </c>
      <c r="J26" s="211">
        <v>0</v>
      </c>
      <c r="K26" s="211">
        <v>0</v>
      </c>
      <c r="L26" s="211">
        <v>0</v>
      </c>
      <c r="M26" s="65">
        <v>0</v>
      </c>
      <c r="N26" s="1165">
        <f t="shared" si="5"/>
        <v>0</v>
      </c>
      <c r="O26" s="248">
        <f t="shared" si="6"/>
        <v>829</v>
      </c>
      <c r="P26" s="222">
        <f t="shared" si="7"/>
        <v>1.8550997500000002</v>
      </c>
      <c r="Q26" s="1119">
        <f t="shared" si="3"/>
        <v>1.8833500000000001</v>
      </c>
      <c r="R26" s="198">
        <f t="shared" si="8"/>
        <v>131.46520000000001</v>
      </c>
    </row>
    <row r="27" spans="1:20" x14ac:dyDescent="0.25">
      <c r="A27" s="208">
        <v>2016</v>
      </c>
      <c r="B27" s="65">
        <f t="shared" si="9"/>
        <v>280</v>
      </c>
      <c r="C27" s="1165">
        <f t="shared" si="0"/>
        <v>41.888000000000005</v>
      </c>
      <c r="D27" s="211">
        <f t="shared" ref="D27:D39" si="10">+D26</f>
        <v>152</v>
      </c>
      <c r="E27" s="1165">
        <f t="shared" si="1"/>
        <v>22.404799999999998</v>
      </c>
      <c r="F27" s="211">
        <f t="shared" ref="F27:H41" si="11">+F26</f>
        <v>397</v>
      </c>
      <c r="G27" s="1165">
        <f t="shared" si="2"/>
        <v>67.17240000000001</v>
      </c>
      <c r="H27" s="211">
        <f>K5-J5</f>
        <v>822</v>
      </c>
      <c r="I27" s="1165">
        <f>+H27*$K$7/10^3*(K$6-D$17)</f>
        <v>103.07880000000002</v>
      </c>
      <c r="J27" s="211">
        <v>0</v>
      </c>
      <c r="K27" s="211">
        <v>0</v>
      </c>
      <c r="L27" s="211">
        <v>0</v>
      </c>
      <c r="M27" s="65">
        <v>0</v>
      </c>
      <c r="N27" s="1165">
        <f t="shared" si="5"/>
        <v>0</v>
      </c>
      <c r="O27" s="248">
        <f t="shared" si="6"/>
        <v>1651</v>
      </c>
      <c r="P27" s="222">
        <f t="shared" si="7"/>
        <v>3.6363737499999997</v>
      </c>
      <c r="Q27" s="1119">
        <f t="shared" si="3"/>
        <v>3.6917499999999999</v>
      </c>
      <c r="R27" s="198">
        <f t="shared" si="8"/>
        <v>234.54400000000004</v>
      </c>
    </row>
    <row r="28" spans="1:20" x14ac:dyDescent="0.25">
      <c r="A28" s="208">
        <v>2017</v>
      </c>
      <c r="B28" s="65">
        <f t="shared" si="9"/>
        <v>280</v>
      </c>
      <c r="C28" s="1165">
        <f t="shared" si="0"/>
        <v>41.888000000000005</v>
      </c>
      <c r="D28" s="211">
        <f t="shared" si="10"/>
        <v>152</v>
      </c>
      <c r="E28" s="1165">
        <f t="shared" si="1"/>
        <v>22.404799999999998</v>
      </c>
      <c r="F28" s="211">
        <f t="shared" si="11"/>
        <v>397</v>
      </c>
      <c r="G28" s="1165">
        <f t="shared" si="2"/>
        <v>67.17240000000001</v>
      </c>
      <c r="H28" s="211">
        <f t="shared" si="11"/>
        <v>822</v>
      </c>
      <c r="I28" s="1165">
        <f t="shared" si="4"/>
        <v>103.07880000000002</v>
      </c>
      <c r="J28" s="211">
        <f t="shared" ref="J28:J42" si="12">+$D$12</f>
        <v>741.5</v>
      </c>
      <c r="K28" s="211">
        <v>0</v>
      </c>
      <c r="L28" s="211">
        <v>0</v>
      </c>
      <c r="M28" s="65">
        <v>0</v>
      </c>
      <c r="N28" s="1165">
        <f t="shared" si="5"/>
        <v>68.514600000000016</v>
      </c>
      <c r="O28" s="248">
        <f t="shared" si="6"/>
        <v>2392.5</v>
      </c>
      <c r="P28" s="222">
        <f t="shared" si="7"/>
        <v>5.2432042499999998</v>
      </c>
      <c r="Q28" s="1119">
        <f t="shared" si="3"/>
        <v>5.3230500000000003</v>
      </c>
      <c r="R28" s="198">
        <f t="shared" si="8"/>
        <v>303.05860000000001</v>
      </c>
    </row>
    <row r="29" spans="1:20" x14ac:dyDescent="0.25">
      <c r="A29" s="208">
        <v>2018</v>
      </c>
      <c r="B29" s="65">
        <f t="shared" si="9"/>
        <v>280</v>
      </c>
      <c r="C29" s="1165">
        <f t="shared" si="0"/>
        <v>41.888000000000005</v>
      </c>
      <c r="D29" s="211">
        <f t="shared" si="10"/>
        <v>152</v>
      </c>
      <c r="E29" s="1165">
        <f t="shared" si="1"/>
        <v>22.404799999999998</v>
      </c>
      <c r="F29" s="211">
        <f t="shared" si="11"/>
        <v>397</v>
      </c>
      <c r="G29" s="1165">
        <f t="shared" si="2"/>
        <v>67.17240000000001</v>
      </c>
      <c r="H29" s="211">
        <f t="shared" si="11"/>
        <v>822</v>
      </c>
      <c r="I29" s="1165">
        <f t="shared" si="4"/>
        <v>103.07880000000002</v>
      </c>
      <c r="J29" s="211">
        <f t="shared" si="12"/>
        <v>741.5</v>
      </c>
      <c r="K29" s="211">
        <f t="shared" ref="K29:K43" si="13">+$D$12</f>
        <v>741.5</v>
      </c>
      <c r="L29" s="211">
        <v>0</v>
      </c>
      <c r="M29" s="65">
        <v>0</v>
      </c>
      <c r="N29" s="1165">
        <f t="shared" si="5"/>
        <v>137.02920000000003</v>
      </c>
      <c r="O29" s="248">
        <f t="shared" si="6"/>
        <v>3134</v>
      </c>
      <c r="P29" s="222">
        <f t="shared" si="7"/>
        <v>6.8500347499999998</v>
      </c>
      <c r="Q29" s="1119">
        <f t="shared" si="3"/>
        <v>6.9543499999999998</v>
      </c>
      <c r="R29" s="198">
        <f t="shared" si="8"/>
        <v>371.57320000000004</v>
      </c>
    </row>
    <row r="30" spans="1:20" x14ac:dyDescent="0.25">
      <c r="A30" s="208">
        <v>2019</v>
      </c>
      <c r="B30" s="65">
        <f t="shared" si="9"/>
        <v>280</v>
      </c>
      <c r="C30" s="1165">
        <f t="shared" si="0"/>
        <v>41.888000000000005</v>
      </c>
      <c r="D30" s="211">
        <f t="shared" si="10"/>
        <v>152</v>
      </c>
      <c r="E30" s="1165">
        <f t="shared" si="1"/>
        <v>22.404799999999998</v>
      </c>
      <c r="F30" s="211">
        <f t="shared" si="11"/>
        <v>397</v>
      </c>
      <c r="G30" s="1165">
        <f t="shared" si="2"/>
        <v>67.17240000000001</v>
      </c>
      <c r="H30" s="211">
        <f t="shared" si="11"/>
        <v>822</v>
      </c>
      <c r="I30" s="1165">
        <f t="shared" si="4"/>
        <v>103.07880000000002</v>
      </c>
      <c r="J30" s="211">
        <f t="shared" si="12"/>
        <v>741.5</v>
      </c>
      <c r="K30" s="211">
        <f t="shared" si="13"/>
        <v>741.5</v>
      </c>
      <c r="L30" s="211">
        <f t="shared" ref="L30:L44" si="14">+$D$12</f>
        <v>741.5</v>
      </c>
      <c r="M30" s="65">
        <v>0</v>
      </c>
      <c r="N30" s="1165">
        <f t="shared" si="5"/>
        <v>205.54380000000003</v>
      </c>
      <c r="O30" s="248">
        <f t="shared" si="6"/>
        <v>3875.5</v>
      </c>
      <c r="P30" s="222">
        <f t="shared" si="7"/>
        <v>8.4568652499999999</v>
      </c>
      <c r="Q30" s="1119">
        <f t="shared" si="3"/>
        <v>8.5856499999999993</v>
      </c>
      <c r="R30" s="198">
        <f t="shared" si="8"/>
        <v>440.08780000000002</v>
      </c>
    </row>
    <row r="31" spans="1:20" x14ac:dyDescent="0.25">
      <c r="A31" s="208">
        <v>2020</v>
      </c>
      <c r="B31" s="65">
        <f t="shared" si="9"/>
        <v>280</v>
      </c>
      <c r="C31" s="1165">
        <f t="shared" si="0"/>
        <v>41.888000000000005</v>
      </c>
      <c r="D31" s="211">
        <f t="shared" si="10"/>
        <v>152</v>
      </c>
      <c r="E31" s="1165">
        <f t="shared" si="1"/>
        <v>22.404799999999998</v>
      </c>
      <c r="F31" s="211">
        <f t="shared" si="11"/>
        <v>397</v>
      </c>
      <c r="G31" s="1165">
        <f t="shared" si="2"/>
        <v>67.17240000000001</v>
      </c>
      <c r="H31" s="211">
        <f t="shared" si="11"/>
        <v>822</v>
      </c>
      <c r="I31" s="1165">
        <f t="shared" si="4"/>
        <v>103.07880000000002</v>
      </c>
      <c r="J31" s="211">
        <f t="shared" si="12"/>
        <v>741.5</v>
      </c>
      <c r="K31" s="211">
        <f t="shared" si="13"/>
        <v>741.5</v>
      </c>
      <c r="L31" s="211">
        <f t="shared" si="14"/>
        <v>741.5</v>
      </c>
      <c r="M31" s="211">
        <f t="shared" ref="M31:M44" si="15">+$D$12</f>
        <v>741.5</v>
      </c>
      <c r="N31" s="1165">
        <f t="shared" si="5"/>
        <v>274.05840000000006</v>
      </c>
      <c r="O31" s="248">
        <f t="shared" si="6"/>
        <v>4617</v>
      </c>
      <c r="P31" s="222">
        <f t="shared" si="7"/>
        <v>10.063695750000001</v>
      </c>
      <c r="Q31" s="1119">
        <f t="shared" si="3"/>
        <v>10.216950000000001</v>
      </c>
      <c r="R31" s="198">
        <f t="shared" si="8"/>
        <v>508.6024000000001</v>
      </c>
      <c r="S31" s="214">
        <f>SUM(R24:R31)</f>
        <v>2095.5120000000002</v>
      </c>
      <c r="T31" s="208" t="s">
        <v>197</v>
      </c>
    </row>
    <row r="32" spans="1:20" x14ac:dyDescent="0.25">
      <c r="A32" s="208">
        <v>2021</v>
      </c>
      <c r="B32" s="65">
        <f t="shared" si="9"/>
        <v>280</v>
      </c>
      <c r="C32" s="1165">
        <f t="shared" si="0"/>
        <v>41.888000000000005</v>
      </c>
      <c r="D32" s="211">
        <f t="shared" si="10"/>
        <v>152</v>
      </c>
      <c r="E32" s="1165">
        <f t="shared" si="1"/>
        <v>22.404799999999998</v>
      </c>
      <c r="F32" s="211">
        <f t="shared" si="11"/>
        <v>397</v>
      </c>
      <c r="G32" s="1165">
        <f t="shared" si="2"/>
        <v>67.17240000000001</v>
      </c>
      <c r="H32" s="211">
        <f t="shared" si="11"/>
        <v>822</v>
      </c>
      <c r="I32" s="1165">
        <f t="shared" si="4"/>
        <v>103.07880000000002</v>
      </c>
      <c r="J32" s="211">
        <f t="shared" si="12"/>
        <v>741.5</v>
      </c>
      <c r="K32" s="211">
        <f t="shared" si="13"/>
        <v>741.5</v>
      </c>
      <c r="L32" s="211">
        <f t="shared" si="14"/>
        <v>741.5</v>
      </c>
      <c r="M32" s="211">
        <f t="shared" si="15"/>
        <v>741.5</v>
      </c>
      <c r="N32" s="1165">
        <f t="shared" si="5"/>
        <v>274.05840000000006</v>
      </c>
      <c r="O32" s="248">
        <f>SUM(J32:M32)+F32+D32+B32+H32</f>
        <v>4617</v>
      </c>
      <c r="P32" s="222">
        <f>+(B32*H$7+D32*I$7+F32*J$7+H32*K$7+SUM(J32:M32)*D$15)/10^6*(100%-D$20)</f>
        <v>10.063695750000001</v>
      </c>
      <c r="Q32" s="1119">
        <f t="shared" si="3"/>
        <v>10.216950000000001</v>
      </c>
      <c r="R32" s="198">
        <f t="shared" si="8"/>
        <v>508.6024000000001</v>
      </c>
    </row>
    <row r="33" spans="1:20" x14ac:dyDescent="0.25">
      <c r="A33" s="208">
        <v>2022</v>
      </c>
      <c r="B33" s="65">
        <f t="shared" si="9"/>
        <v>280</v>
      </c>
      <c r="C33" s="1165">
        <f t="shared" si="0"/>
        <v>41.888000000000005</v>
      </c>
      <c r="D33" s="211">
        <f t="shared" si="10"/>
        <v>152</v>
      </c>
      <c r="E33" s="1165">
        <f t="shared" si="1"/>
        <v>22.404799999999998</v>
      </c>
      <c r="F33" s="211">
        <f t="shared" si="11"/>
        <v>397</v>
      </c>
      <c r="G33" s="1165">
        <f t="shared" si="2"/>
        <v>67.17240000000001</v>
      </c>
      <c r="H33" s="211">
        <f t="shared" si="11"/>
        <v>822</v>
      </c>
      <c r="I33" s="1165">
        <f t="shared" si="4"/>
        <v>103.07880000000002</v>
      </c>
      <c r="J33" s="211">
        <f t="shared" si="12"/>
        <v>741.5</v>
      </c>
      <c r="K33" s="211">
        <f t="shared" si="13"/>
        <v>741.5</v>
      </c>
      <c r="L33" s="211">
        <f t="shared" si="14"/>
        <v>741.5</v>
      </c>
      <c r="M33" s="211">
        <f t="shared" si="15"/>
        <v>741.5</v>
      </c>
      <c r="N33" s="1165">
        <f t="shared" si="5"/>
        <v>274.05840000000006</v>
      </c>
      <c r="O33" s="248">
        <f t="shared" si="6"/>
        <v>4617</v>
      </c>
      <c r="P33" s="222">
        <f t="shared" si="7"/>
        <v>10.063695750000001</v>
      </c>
      <c r="Q33" s="1119">
        <f t="shared" si="3"/>
        <v>10.216950000000001</v>
      </c>
      <c r="R33" s="198">
        <f t="shared" si="8"/>
        <v>508.6024000000001</v>
      </c>
    </row>
    <row r="34" spans="1:20" x14ac:dyDescent="0.25">
      <c r="A34" s="208">
        <v>2023</v>
      </c>
      <c r="B34" s="65">
        <f t="shared" si="9"/>
        <v>280</v>
      </c>
      <c r="C34" s="1165">
        <f t="shared" si="0"/>
        <v>41.888000000000005</v>
      </c>
      <c r="D34" s="211">
        <f t="shared" si="10"/>
        <v>152</v>
      </c>
      <c r="E34" s="1165">
        <f t="shared" si="1"/>
        <v>22.404799999999998</v>
      </c>
      <c r="F34" s="211">
        <f t="shared" si="11"/>
        <v>397</v>
      </c>
      <c r="G34" s="1165">
        <f t="shared" si="2"/>
        <v>67.17240000000001</v>
      </c>
      <c r="H34" s="211">
        <f t="shared" si="11"/>
        <v>822</v>
      </c>
      <c r="I34" s="1165">
        <f t="shared" si="4"/>
        <v>103.07880000000002</v>
      </c>
      <c r="J34" s="211">
        <f t="shared" si="12"/>
        <v>741.5</v>
      </c>
      <c r="K34" s="211">
        <f t="shared" si="13"/>
        <v>741.5</v>
      </c>
      <c r="L34" s="211">
        <f t="shared" si="14"/>
        <v>741.5</v>
      </c>
      <c r="M34" s="211">
        <f t="shared" si="15"/>
        <v>741.5</v>
      </c>
      <c r="N34" s="1165">
        <f t="shared" si="5"/>
        <v>274.05840000000006</v>
      </c>
      <c r="O34" s="248">
        <f t="shared" si="6"/>
        <v>4617</v>
      </c>
      <c r="P34" s="222">
        <f t="shared" si="7"/>
        <v>10.063695750000001</v>
      </c>
      <c r="Q34" s="1119">
        <f t="shared" si="3"/>
        <v>10.216950000000001</v>
      </c>
      <c r="R34" s="198">
        <f t="shared" si="8"/>
        <v>508.6024000000001</v>
      </c>
    </row>
    <row r="35" spans="1:20" x14ac:dyDescent="0.25">
      <c r="A35" s="208">
        <v>2024</v>
      </c>
      <c r="B35" s="65">
        <f t="shared" si="9"/>
        <v>280</v>
      </c>
      <c r="C35" s="1165">
        <f t="shared" si="0"/>
        <v>41.888000000000005</v>
      </c>
      <c r="D35" s="211">
        <f t="shared" si="10"/>
        <v>152</v>
      </c>
      <c r="E35" s="1165">
        <f t="shared" si="1"/>
        <v>22.404799999999998</v>
      </c>
      <c r="F35" s="211">
        <f t="shared" si="11"/>
        <v>397</v>
      </c>
      <c r="G35" s="1165">
        <f t="shared" si="2"/>
        <v>67.17240000000001</v>
      </c>
      <c r="H35" s="211">
        <f t="shared" si="11"/>
        <v>822</v>
      </c>
      <c r="I35" s="1165">
        <f t="shared" si="4"/>
        <v>103.07880000000002</v>
      </c>
      <c r="J35" s="211">
        <f t="shared" si="12"/>
        <v>741.5</v>
      </c>
      <c r="K35" s="211">
        <f t="shared" si="13"/>
        <v>741.5</v>
      </c>
      <c r="L35" s="211">
        <f t="shared" si="14"/>
        <v>741.5</v>
      </c>
      <c r="M35" s="211">
        <f t="shared" si="15"/>
        <v>741.5</v>
      </c>
      <c r="N35" s="1165">
        <f t="shared" si="5"/>
        <v>274.05840000000006</v>
      </c>
      <c r="O35" s="248">
        <f t="shared" si="6"/>
        <v>4617</v>
      </c>
      <c r="P35" s="222">
        <f t="shared" si="7"/>
        <v>10.063695750000001</v>
      </c>
      <c r="Q35" s="1119">
        <f t="shared" si="3"/>
        <v>10.216950000000001</v>
      </c>
      <c r="R35" s="198">
        <f t="shared" si="8"/>
        <v>508.6024000000001</v>
      </c>
    </row>
    <row r="36" spans="1:20" x14ac:dyDescent="0.25">
      <c r="A36" s="208">
        <v>2025</v>
      </c>
      <c r="B36" s="65">
        <f t="shared" si="9"/>
        <v>280</v>
      </c>
      <c r="C36" s="1165">
        <f t="shared" si="0"/>
        <v>41.888000000000005</v>
      </c>
      <c r="D36" s="211">
        <f t="shared" si="10"/>
        <v>152</v>
      </c>
      <c r="E36" s="1165">
        <f t="shared" si="1"/>
        <v>22.404799999999998</v>
      </c>
      <c r="F36" s="211">
        <f t="shared" si="11"/>
        <v>397</v>
      </c>
      <c r="G36" s="1165">
        <f t="shared" si="2"/>
        <v>67.17240000000001</v>
      </c>
      <c r="H36" s="211">
        <f t="shared" si="11"/>
        <v>822</v>
      </c>
      <c r="I36" s="1165">
        <f t="shared" si="4"/>
        <v>103.07880000000002</v>
      </c>
      <c r="J36" s="211">
        <f t="shared" si="12"/>
        <v>741.5</v>
      </c>
      <c r="K36" s="211">
        <f t="shared" si="13"/>
        <v>741.5</v>
      </c>
      <c r="L36" s="211">
        <f t="shared" si="14"/>
        <v>741.5</v>
      </c>
      <c r="M36" s="211">
        <f t="shared" si="15"/>
        <v>741.5</v>
      </c>
      <c r="N36" s="1165">
        <f t="shared" si="5"/>
        <v>274.05840000000006</v>
      </c>
      <c r="O36" s="248">
        <f t="shared" si="6"/>
        <v>4617</v>
      </c>
      <c r="P36" s="222">
        <f t="shared" si="7"/>
        <v>10.063695750000001</v>
      </c>
      <c r="Q36" s="1119">
        <f t="shared" si="3"/>
        <v>10.216950000000001</v>
      </c>
      <c r="R36" s="198">
        <f t="shared" si="8"/>
        <v>508.6024000000001</v>
      </c>
    </row>
    <row r="37" spans="1:20" x14ac:dyDescent="0.25">
      <c r="A37" s="208">
        <v>2026</v>
      </c>
      <c r="B37" s="65">
        <f t="shared" si="9"/>
        <v>280</v>
      </c>
      <c r="C37" s="1165">
        <f t="shared" si="0"/>
        <v>41.888000000000005</v>
      </c>
      <c r="D37" s="211">
        <f t="shared" si="10"/>
        <v>152</v>
      </c>
      <c r="E37" s="1165">
        <f t="shared" si="1"/>
        <v>22.404799999999998</v>
      </c>
      <c r="F37" s="211">
        <f t="shared" si="11"/>
        <v>397</v>
      </c>
      <c r="G37" s="1165">
        <f t="shared" si="2"/>
        <v>67.17240000000001</v>
      </c>
      <c r="H37" s="211">
        <f t="shared" si="11"/>
        <v>822</v>
      </c>
      <c r="I37" s="1165">
        <f t="shared" si="4"/>
        <v>103.07880000000002</v>
      </c>
      <c r="J37" s="211">
        <f t="shared" si="12"/>
        <v>741.5</v>
      </c>
      <c r="K37" s="211">
        <f t="shared" si="13"/>
        <v>741.5</v>
      </c>
      <c r="L37" s="211">
        <f t="shared" si="14"/>
        <v>741.5</v>
      </c>
      <c r="M37" s="211">
        <f t="shared" si="15"/>
        <v>741.5</v>
      </c>
      <c r="N37" s="1165">
        <f t="shared" si="5"/>
        <v>274.05840000000006</v>
      </c>
      <c r="O37" s="248">
        <f t="shared" si="6"/>
        <v>4617</v>
      </c>
      <c r="P37" s="222">
        <f t="shared" si="7"/>
        <v>10.063695750000001</v>
      </c>
      <c r="Q37" s="1119">
        <f t="shared" si="3"/>
        <v>10.216950000000001</v>
      </c>
      <c r="R37" s="198">
        <f t="shared" si="8"/>
        <v>508.6024000000001</v>
      </c>
    </row>
    <row r="38" spans="1:20" x14ac:dyDescent="0.25">
      <c r="A38" s="208">
        <v>2027</v>
      </c>
      <c r="B38" s="65">
        <f t="shared" si="9"/>
        <v>280</v>
      </c>
      <c r="C38" s="1165">
        <f t="shared" si="0"/>
        <v>41.888000000000005</v>
      </c>
      <c r="D38" s="211">
        <f t="shared" si="10"/>
        <v>152</v>
      </c>
      <c r="E38" s="1165">
        <f t="shared" si="1"/>
        <v>22.404799999999998</v>
      </c>
      <c r="F38" s="211">
        <f t="shared" si="11"/>
        <v>397</v>
      </c>
      <c r="G38" s="1165">
        <f t="shared" si="2"/>
        <v>67.17240000000001</v>
      </c>
      <c r="H38" s="211">
        <f t="shared" si="11"/>
        <v>822</v>
      </c>
      <c r="I38" s="1165">
        <f t="shared" si="4"/>
        <v>103.07880000000002</v>
      </c>
      <c r="J38" s="211">
        <f t="shared" si="12"/>
        <v>741.5</v>
      </c>
      <c r="K38" s="211">
        <f t="shared" si="13"/>
        <v>741.5</v>
      </c>
      <c r="L38" s="211">
        <f t="shared" si="14"/>
        <v>741.5</v>
      </c>
      <c r="M38" s="211">
        <f t="shared" si="15"/>
        <v>741.5</v>
      </c>
      <c r="N38" s="1165">
        <f t="shared" si="5"/>
        <v>274.05840000000006</v>
      </c>
      <c r="O38" s="248">
        <f t="shared" si="6"/>
        <v>4617</v>
      </c>
      <c r="P38" s="222">
        <f t="shared" si="7"/>
        <v>10.063695750000001</v>
      </c>
      <c r="Q38" s="1119">
        <f t="shared" si="3"/>
        <v>10.216950000000001</v>
      </c>
      <c r="R38" s="198">
        <f t="shared" si="8"/>
        <v>508.6024000000001</v>
      </c>
    </row>
    <row r="39" spans="1:20" x14ac:dyDescent="0.25">
      <c r="A39" s="208">
        <v>2028</v>
      </c>
      <c r="B39" s="65">
        <v>0</v>
      </c>
      <c r="C39" s="1165">
        <f t="shared" si="0"/>
        <v>0</v>
      </c>
      <c r="D39" s="211">
        <f t="shared" si="10"/>
        <v>152</v>
      </c>
      <c r="E39" s="1165">
        <f t="shared" si="1"/>
        <v>22.404799999999998</v>
      </c>
      <c r="F39" s="211">
        <f t="shared" si="11"/>
        <v>397</v>
      </c>
      <c r="G39" s="1165">
        <f t="shared" si="2"/>
        <v>67.17240000000001</v>
      </c>
      <c r="H39" s="211">
        <f t="shared" si="11"/>
        <v>822</v>
      </c>
      <c r="I39" s="1165">
        <f t="shared" si="4"/>
        <v>103.07880000000002</v>
      </c>
      <c r="J39" s="211">
        <f t="shared" si="12"/>
        <v>741.5</v>
      </c>
      <c r="K39" s="211">
        <f t="shared" si="13"/>
        <v>741.5</v>
      </c>
      <c r="L39" s="211">
        <f t="shared" si="14"/>
        <v>741.5</v>
      </c>
      <c r="M39" s="211">
        <f t="shared" si="15"/>
        <v>741.5</v>
      </c>
      <c r="N39" s="1165">
        <f t="shared" si="5"/>
        <v>274.05840000000006</v>
      </c>
      <c r="O39" s="248">
        <f t="shared" si="6"/>
        <v>4337</v>
      </c>
      <c r="P39" s="222">
        <f t="shared" si="7"/>
        <v>9.4569357499999995</v>
      </c>
      <c r="Q39" s="1119">
        <f t="shared" si="3"/>
        <v>9.6009499999999992</v>
      </c>
      <c r="R39" s="198">
        <f t="shared" si="8"/>
        <v>466.71440000000007</v>
      </c>
    </row>
    <row r="40" spans="1:20" x14ac:dyDescent="0.25">
      <c r="A40" s="208">
        <v>2029</v>
      </c>
      <c r="B40" s="65">
        <v>0</v>
      </c>
      <c r="C40" s="1165">
        <f t="shared" si="0"/>
        <v>0</v>
      </c>
      <c r="D40" s="211">
        <v>0</v>
      </c>
      <c r="E40" s="1165">
        <f t="shared" si="1"/>
        <v>0</v>
      </c>
      <c r="F40" s="211">
        <f t="shared" si="11"/>
        <v>397</v>
      </c>
      <c r="G40" s="1165">
        <f t="shared" si="2"/>
        <v>67.17240000000001</v>
      </c>
      <c r="H40" s="211">
        <f t="shared" si="11"/>
        <v>822</v>
      </c>
      <c r="I40" s="1165">
        <f t="shared" si="4"/>
        <v>103.07880000000002</v>
      </c>
      <c r="J40" s="211">
        <f t="shared" si="12"/>
        <v>741.5</v>
      </c>
      <c r="K40" s="211">
        <f t="shared" si="13"/>
        <v>741.5</v>
      </c>
      <c r="L40" s="211">
        <f t="shared" si="14"/>
        <v>741.5</v>
      </c>
      <c r="M40" s="211">
        <f t="shared" si="15"/>
        <v>741.5</v>
      </c>
      <c r="N40" s="1165">
        <f t="shared" si="5"/>
        <v>274.05840000000006</v>
      </c>
      <c r="O40" s="248">
        <f t="shared" si="6"/>
        <v>4185</v>
      </c>
      <c r="P40" s="222">
        <f t="shared" si="7"/>
        <v>9.1275517500000003</v>
      </c>
      <c r="Q40" s="1119">
        <f t="shared" si="3"/>
        <v>9.2665500000000005</v>
      </c>
      <c r="R40" s="198">
        <f t="shared" si="8"/>
        <v>444.30960000000005</v>
      </c>
    </row>
    <row r="41" spans="1:20" x14ac:dyDescent="0.25">
      <c r="A41" s="208">
        <v>2030</v>
      </c>
      <c r="B41" s="211">
        <v>0</v>
      </c>
      <c r="C41" s="1165">
        <f t="shared" si="0"/>
        <v>0</v>
      </c>
      <c r="D41" s="211">
        <v>0</v>
      </c>
      <c r="E41" s="1165">
        <f t="shared" si="1"/>
        <v>0</v>
      </c>
      <c r="F41" s="211">
        <v>0</v>
      </c>
      <c r="G41" s="1165">
        <f t="shared" si="2"/>
        <v>0</v>
      </c>
      <c r="H41" s="211">
        <f t="shared" si="11"/>
        <v>822</v>
      </c>
      <c r="I41" s="1165">
        <f t="shared" si="4"/>
        <v>103.07880000000002</v>
      </c>
      <c r="J41" s="211">
        <f t="shared" si="12"/>
        <v>741.5</v>
      </c>
      <c r="K41" s="211">
        <f t="shared" si="13"/>
        <v>741.5</v>
      </c>
      <c r="L41" s="211">
        <f t="shared" si="14"/>
        <v>741.5</v>
      </c>
      <c r="M41" s="211">
        <f t="shared" si="15"/>
        <v>741.5</v>
      </c>
      <c r="N41" s="1165">
        <f t="shared" si="5"/>
        <v>274.05840000000006</v>
      </c>
      <c r="O41" s="248">
        <f t="shared" si="6"/>
        <v>3788</v>
      </c>
      <c r="P41" s="222">
        <f t="shared" si="7"/>
        <v>8.208596</v>
      </c>
      <c r="Q41" s="1119">
        <f t="shared" si="3"/>
        <v>8.3336000000000006</v>
      </c>
      <c r="R41" s="198">
        <f t="shared" si="8"/>
        <v>377.13720000000006</v>
      </c>
    </row>
    <row r="42" spans="1:20" x14ac:dyDescent="0.25">
      <c r="A42" s="208">
        <v>2031</v>
      </c>
      <c r="B42" s="211">
        <v>0</v>
      </c>
      <c r="C42" s="1165">
        <f t="shared" si="0"/>
        <v>0</v>
      </c>
      <c r="D42" s="211">
        <v>0</v>
      </c>
      <c r="E42" s="1165">
        <f t="shared" si="1"/>
        <v>0</v>
      </c>
      <c r="F42" s="211">
        <v>0</v>
      </c>
      <c r="G42" s="1165">
        <f t="shared" si="2"/>
        <v>0</v>
      </c>
      <c r="H42" s="211">
        <v>0</v>
      </c>
      <c r="I42" s="1165">
        <f t="shared" si="4"/>
        <v>0</v>
      </c>
      <c r="J42" s="211">
        <f t="shared" si="12"/>
        <v>741.5</v>
      </c>
      <c r="K42" s="211">
        <f t="shared" si="13"/>
        <v>741.5</v>
      </c>
      <c r="L42" s="211">
        <f t="shared" si="14"/>
        <v>741.5</v>
      </c>
      <c r="M42" s="211">
        <f t="shared" si="15"/>
        <v>741.5</v>
      </c>
      <c r="N42" s="1165">
        <f t="shared" si="5"/>
        <v>274.05840000000006</v>
      </c>
      <c r="O42" s="248">
        <f t="shared" si="6"/>
        <v>2966</v>
      </c>
      <c r="P42" s="222">
        <f t="shared" si="7"/>
        <v>6.4273220000000002</v>
      </c>
      <c r="Q42" s="1119">
        <f t="shared" si="3"/>
        <v>6.5251999999999999</v>
      </c>
      <c r="R42" s="198">
        <f t="shared" si="8"/>
        <v>274.05840000000006</v>
      </c>
    </row>
    <row r="43" spans="1:20" x14ac:dyDescent="0.25">
      <c r="A43" s="208">
        <v>2032</v>
      </c>
      <c r="B43" s="211">
        <v>0</v>
      </c>
      <c r="C43" s="1165">
        <f t="shared" si="0"/>
        <v>0</v>
      </c>
      <c r="D43" s="211">
        <v>0</v>
      </c>
      <c r="E43" s="1165">
        <f t="shared" si="1"/>
        <v>0</v>
      </c>
      <c r="F43" s="65">
        <v>0</v>
      </c>
      <c r="G43" s="1165">
        <f t="shared" si="2"/>
        <v>0</v>
      </c>
      <c r="H43" s="211">
        <v>0</v>
      </c>
      <c r="I43" s="1165">
        <f t="shared" si="4"/>
        <v>0</v>
      </c>
      <c r="J43" s="211">
        <v>0</v>
      </c>
      <c r="K43" s="211">
        <f t="shared" si="13"/>
        <v>741.5</v>
      </c>
      <c r="L43" s="211">
        <f t="shared" si="14"/>
        <v>741.5</v>
      </c>
      <c r="M43" s="211">
        <f t="shared" si="15"/>
        <v>741.5</v>
      </c>
      <c r="N43" s="1165">
        <f t="shared" si="5"/>
        <v>205.54380000000003</v>
      </c>
      <c r="O43" s="248">
        <f t="shared" si="6"/>
        <v>2224.5</v>
      </c>
      <c r="P43" s="222">
        <f t="shared" si="7"/>
        <v>4.8204915000000002</v>
      </c>
      <c r="Q43" s="1119">
        <f t="shared" si="3"/>
        <v>4.8939000000000004</v>
      </c>
      <c r="R43" s="198">
        <f t="shared" si="8"/>
        <v>205.54380000000003</v>
      </c>
    </row>
    <row r="44" spans="1:20" x14ac:dyDescent="0.25">
      <c r="A44" s="208">
        <v>2033</v>
      </c>
      <c r="B44" s="211">
        <v>0</v>
      </c>
      <c r="C44" s="1165">
        <f t="shared" si="0"/>
        <v>0</v>
      </c>
      <c r="D44" s="211">
        <v>0</v>
      </c>
      <c r="E44" s="1165">
        <f t="shared" si="1"/>
        <v>0</v>
      </c>
      <c r="F44" s="211">
        <v>0</v>
      </c>
      <c r="G44" s="1165">
        <f t="shared" si="2"/>
        <v>0</v>
      </c>
      <c r="H44" s="211">
        <v>0</v>
      </c>
      <c r="I44" s="1165">
        <f t="shared" si="4"/>
        <v>0</v>
      </c>
      <c r="J44" s="211">
        <v>0</v>
      </c>
      <c r="K44" s="211">
        <v>0</v>
      </c>
      <c r="L44" s="211">
        <f t="shared" si="14"/>
        <v>741.5</v>
      </c>
      <c r="M44" s="211">
        <f t="shared" si="15"/>
        <v>741.5</v>
      </c>
      <c r="N44" s="1165">
        <f t="shared" si="5"/>
        <v>137.02920000000003</v>
      </c>
      <c r="O44" s="248">
        <f t="shared" si="6"/>
        <v>1483</v>
      </c>
      <c r="P44" s="222">
        <f t="shared" si="7"/>
        <v>3.2136610000000001</v>
      </c>
      <c r="Q44" s="1119">
        <f t="shared" si="3"/>
        <v>3.2625999999999999</v>
      </c>
      <c r="R44" s="198">
        <f t="shared" si="8"/>
        <v>137.02920000000003</v>
      </c>
    </row>
    <row r="45" spans="1:20" x14ac:dyDescent="0.25">
      <c r="A45" s="208">
        <v>2034</v>
      </c>
      <c r="B45" s="211">
        <v>0</v>
      </c>
      <c r="C45" s="1165">
        <f t="shared" si="0"/>
        <v>0</v>
      </c>
      <c r="D45" s="211">
        <v>0</v>
      </c>
      <c r="E45" s="1165">
        <f t="shared" si="1"/>
        <v>0</v>
      </c>
      <c r="F45" s="211">
        <v>0</v>
      </c>
      <c r="G45" s="1165">
        <f t="shared" si="2"/>
        <v>0</v>
      </c>
      <c r="H45" s="211">
        <v>0</v>
      </c>
      <c r="I45" s="1165">
        <f t="shared" si="4"/>
        <v>0</v>
      </c>
      <c r="J45" s="211">
        <v>0</v>
      </c>
      <c r="K45" s="211">
        <v>0</v>
      </c>
      <c r="L45" s="211">
        <v>0</v>
      </c>
      <c r="M45" s="211">
        <f>+$D$12</f>
        <v>741.5</v>
      </c>
      <c r="N45" s="1165">
        <f t="shared" si="5"/>
        <v>68.514600000000016</v>
      </c>
      <c r="O45" s="248">
        <f t="shared" si="6"/>
        <v>741.5</v>
      </c>
      <c r="P45" s="222">
        <f t="shared" si="7"/>
        <v>1.6068305000000001</v>
      </c>
      <c r="Q45" s="1119">
        <f t="shared" si="3"/>
        <v>1.6313</v>
      </c>
      <c r="R45" s="198">
        <f t="shared" si="8"/>
        <v>68.514600000000016</v>
      </c>
    </row>
    <row r="46" spans="1:20" x14ac:dyDescent="0.25">
      <c r="A46" s="208">
        <v>2035</v>
      </c>
      <c r="B46" s="211">
        <v>0</v>
      </c>
      <c r="C46" s="1166">
        <f t="shared" si="0"/>
        <v>0</v>
      </c>
      <c r="D46" s="211">
        <v>0</v>
      </c>
      <c r="E46" s="1166">
        <f t="shared" si="1"/>
        <v>0</v>
      </c>
      <c r="F46" s="211">
        <v>0</v>
      </c>
      <c r="G46" s="1166">
        <f t="shared" si="2"/>
        <v>0</v>
      </c>
      <c r="H46" s="211">
        <v>0</v>
      </c>
      <c r="I46" s="1165">
        <f t="shared" si="4"/>
        <v>0</v>
      </c>
      <c r="J46" s="211">
        <v>0</v>
      </c>
      <c r="K46" s="211">
        <v>0</v>
      </c>
      <c r="L46" s="211">
        <v>0</v>
      </c>
      <c r="M46" s="211">
        <v>0</v>
      </c>
      <c r="N46" s="1165">
        <f t="shared" si="5"/>
        <v>0</v>
      </c>
      <c r="O46" s="248">
        <f t="shared" si="6"/>
        <v>0</v>
      </c>
      <c r="P46" s="222">
        <f t="shared" si="7"/>
        <v>0</v>
      </c>
      <c r="Q46" s="1119">
        <f t="shared" si="3"/>
        <v>0</v>
      </c>
      <c r="R46" s="198">
        <f t="shared" si="8"/>
        <v>0</v>
      </c>
      <c r="S46" s="200">
        <f>SUM(R32:R46)</f>
        <v>5533.5240000000022</v>
      </c>
      <c r="T46" s="208" t="s">
        <v>47</v>
      </c>
    </row>
    <row r="47" spans="1:20" x14ac:dyDescent="0.25">
      <c r="G47" s="240"/>
      <c r="N47" s="240"/>
      <c r="O47" s="136"/>
      <c r="P47" s="222"/>
      <c r="Q47" s="136"/>
    </row>
    <row r="48" spans="1:20" x14ac:dyDescent="0.25">
      <c r="A48" s="215" t="s">
        <v>8</v>
      </c>
      <c r="G48" s="240"/>
      <c r="N48" s="240"/>
      <c r="O48" s="136"/>
      <c r="P48" s="136"/>
      <c r="Q48" s="216"/>
      <c r="R48" s="217">
        <f>SUM(R24:R47)</f>
        <v>7629.036000000001</v>
      </c>
      <c r="S48" s="65" t="s">
        <v>15</v>
      </c>
    </row>
    <row r="49" spans="1:19" x14ac:dyDescent="0.25">
      <c r="N49" s="102"/>
      <c r="S49" s="65" t="s">
        <v>812</v>
      </c>
    </row>
    <row r="50" spans="1:19" x14ac:dyDescent="0.25">
      <c r="A50" s="208"/>
      <c r="M50" s="1167"/>
    </row>
    <row r="51" spans="1:19" x14ac:dyDescent="0.25">
      <c r="A51" s="215" t="s">
        <v>334</v>
      </c>
      <c r="B51" s="956"/>
      <c r="C51" s="956"/>
      <c r="D51" s="956"/>
      <c r="E51" s="956"/>
      <c r="F51" s="956"/>
      <c r="G51" s="956"/>
      <c r="H51" s="956"/>
      <c r="I51" s="956"/>
      <c r="J51" s="956"/>
      <c r="K51" s="956"/>
      <c r="L51" s="956"/>
      <c r="M51" s="956"/>
    </row>
    <row r="52" spans="1:19" ht="15.75" thickBot="1" x14ac:dyDescent="0.3">
      <c r="A52" s="83" t="s">
        <v>842</v>
      </c>
      <c r="B52" s="83"/>
      <c r="C52" s="83"/>
      <c r="D52" s="83"/>
      <c r="E52" s="83"/>
      <c r="F52" s="83"/>
      <c r="G52" s="83"/>
      <c r="H52" s="83"/>
      <c r="I52" s="83"/>
      <c r="J52" s="83"/>
      <c r="K52" s="83"/>
      <c r="L52" s="83"/>
    </row>
    <row r="53" spans="1:19" ht="90" x14ac:dyDescent="0.25">
      <c r="A53" s="136"/>
      <c r="B53" s="165" t="s">
        <v>855</v>
      </c>
      <c r="C53" s="763">
        <v>2013</v>
      </c>
      <c r="D53" s="764">
        <v>2014</v>
      </c>
      <c r="E53" s="165" t="s">
        <v>847</v>
      </c>
      <c r="F53" s="136">
        <v>2016</v>
      </c>
      <c r="G53" s="172" t="s">
        <v>932</v>
      </c>
      <c r="H53" s="136">
        <v>2018</v>
      </c>
      <c r="I53" s="165">
        <v>2019</v>
      </c>
      <c r="J53" s="1168" t="s">
        <v>849</v>
      </c>
      <c r="K53" s="1168" t="s">
        <v>851</v>
      </c>
      <c r="L53" s="1169" t="s">
        <v>8</v>
      </c>
    </row>
    <row r="54" spans="1:19" ht="45" x14ac:dyDescent="0.25">
      <c r="A54" s="165" t="s">
        <v>843</v>
      </c>
      <c r="B54" s="136">
        <f>+'SDE&amp;MEP tm 2012'!B42</f>
        <v>228</v>
      </c>
      <c r="C54" s="166"/>
      <c r="D54" s="166"/>
      <c r="E54" s="136">
        <v>130</v>
      </c>
      <c r="F54" s="162"/>
      <c r="G54" s="1170">
        <v>600</v>
      </c>
      <c r="H54" s="136"/>
      <c r="I54" s="136"/>
      <c r="J54" s="136">
        <v>700</v>
      </c>
      <c r="K54" s="136">
        <v>680</v>
      </c>
      <c r="L54" s="1171">
        <f>SUM(B54:K54)</f>
        <v>2338</v>
      </c>
    </row>
    <row r="55" spans="1:19" ht="30" x14ac:dyDescent="0.25">
      <c r="A55" s="1160" t="s">
        <v>1019</v>
      </c>
      <c r="B55" s="136"/>
      <c r="C55" s="198"/>
      <c r="D55" s="136"/>
      <c r="E55" s="1172">
        <v>0.12</v>
      </c>
      <c r="F55" s="136"/>
      <c r="G55" s="1114">
        <v>0.16900000000000001</v>
      </c>
      <c r="H55" s="136"/>
      <c r="I55" s="1173"/>
      <c r="J55" s="1174">
        <v>7.2700000000000001E-2</v>
      </c>
      <c r="K55" s="1174">
        <v>5.45E-2</v>
      </c>
      <c r="L55" s="1175"/>
    </row>
    <row r="56" spans="1:19" x14ac:dyDescent="0.25">
      <c r="A56" s="136" t="s">
        <v>708</v>
      </c>
      <c r="B56" s="136"/>
      <c r="C56" s="136"/>
      <c r="D56" s="136"/>
      <c r="E56" s="1176">
        <v>400</v>
      </c>
      <c r="F56" s="136"/>
      <c r="G56" s="136">
        <v>2800</v>
      </c>
      <c r="H56" s="136"/>
      <c r="I56" s="136"/>
      <c r="J56" s="136"/>
      <c r="K56" s="136"/>
      <c r="L56" s="1175"/>
    </row>
    <row r="57" spans="1:19" ht="15.75" thickBot="1" x14ac:dyDescent="0.3">
      <c r="A57" s="136" t="s">
        <v>848</v>
      </c>
      <c r="B57" s="136"/>
      <c r="C57" s="136"/>
      <c r="D57" s="136"/>
      <c r="E57" s="136">
        <v>15</v>
      </c>
      <c r="F57" s="136"/>
      <c r="G57" s="136">
        <v>15</v>
      </c>
      <c r="H57" s="136"/>
      <c r="I57" s="136"/>
      <c r="J57" s="136">
        <v>15</v>
      </c>
      <c r="K57" s="136">
        <v>15</v>
      </c>
      <c r="L57" s="1177"/>
    </row>
    <row r="58" spans="1:19" x14ac:dyDescent="0.25">
      <c r="G58" s="65" t="s">
        <v>949</v>
      </c>
      <c r="L58" s="102"/>
      <c r="M58" s="102"/>
    </row>
    <row r="61" spans="1:19" x14ac:dyDescent="0.25">
      <c r="A61" s="83" t="s">
        <v>717</v>
      </c>
      <c r="B61" s="83"/>
      <c r="C61" s="83"/>
      <c r="D61" s="83">
        <f>L54</f>
        <v>2338</v>
      </c>
      <c r="E61" s="971" t="s">
        <v>11</v>
      </c>
      <c r="F61" s="83" t="s">
        <v>715</v>
      </c>
      <c r="G61" s="83"/>
      <c r="H61" s="83"/>
      <c r="I61" s="141"/>
      <c r="J61" s="83"/>
      <c r="K61" s="83"/>
      <c r="L61" s="83"/>
      <c r="M61" s="83"/>
    </row>
    <row r="62" spans="1:19" x14ac:dyDescent="0.25">
      <c r="A62" s="203" t="s">
        <v>212</v>
      </c>
      <c r="B62" s="204"/>
      <c r="D62" s="205">
        <f>+Uitgangspunten!B16</f>
        <v>4450</v>
      </c>
      <c r="E62" s="206" t="s">
        <v>214</v>
      </c>
    </row>
    <row r="63" spans="1:19" x14ac:dyDescent="0.25">
      <c r="A63" s="203" t="s">
        <v>716</v>
      </c>
      <c r="B63" s="204"/>
      <c r="D63" s="65">
        <f>IF((D62-D61)&lt;0,0,(D62-D61))</f>
        <v>2112</v>
      </c>
      <c r="E63" s="206" t="s">
        <v>11</v>
      </c>
    </row>
    <row r="64" spans="1:19" x14ac:dyDescent="0.25">
      <c r="A64" s="65" t="s">
        <v>1020</v>
      </c>
      <c r="B64" s="206"/>
      <c r="D64" s="207">
        <f>+D63/3</f>
        <v>704</v>
      </c>
      <c r="E64" s="208" t="s">
        <v>856</v>
      </c>
      <c r="F64" s="208"/>
    </row>
    <row r="66" spans="1:18" x14ac:dyDescent="0.25">
      <c r="A66" s="208" t="s">
        <v>34</v>
      </c>
    </row>
    <row r="67" spans="1:18" x14ac:dyDescent="0.25">
      <c r="A67" s="65" t="str">
        <f>+Uitgangspunten!A15</f>
        <v>Aantal vollasturen (voor subsidie en CO2 reductieberekening hier gelijk)</v>
      </c>
      <c r="D67" s="205">
        <f>+Uitgangspunten!B15</f>
        <v>3900</v>
      </c>
      <c r="E67" s="65" t="s">
        <v>617</v>
      </c>
    </row>
    <row r="68" spans="1:18" x14ac:dyDescent="0.25">
      <c r="A68" s="83" t="s">
        <v>354</v>
      </c>
      <c r="B68" s="83"/>
      <c r="C68" s="83"/>
      <c r="D68" s="83">
        <v>3900</v>
      </c>
      <c r="E68" s="83" t="s">
        <v>630</v>
      </c>
    </row>
    <row r="69" spans="1:18" x14ac:dyDescent="0.25">
      <c r="A69" s="65" t="s">
        <v>1021</v>
      </c>
      <c r="D69" s="1297">
        <f>+Uitgangspunten!B13</f>
        <v>0.05</v>
      </c>
      <c r="E69" s="65" t="s">
        <v>273</v>
      </c>
    </row>
    <row r="70" spans="1:18" x14ac:dyDescent="0.25">
      <c r="A70" s="65" t="str">
        <f>+Uitgangspunten!A14</f>
        <v>Correctiebedrag elektriciteit (opbrengst productie grijze stroom) - gemiddeld over 2013-2020</v>
      </c>
      <c r="D70" s="205">
        <f>+Uitgangspunten!B14</f>
        <v>2.8000000000000001E-2</v>
      </c>
      <c r="E70" s="65" t="s">
        <v>271</v>
      </c>
    </row>
    <row r="71" spans="1:18" x14ac:dyDescent="0.25">
      <c r="D71" s="1652">
        <f>D69-D70</f>
        <v>2.2000000000000002E-2</v>
      </c>
    </row>
    <row r="72" spans="1:18" ht="62.45" customHeight="1" x14ac:dyDescent="0.25">
      <c r="A72" s="1784" t="str">
        <f>+Uitgangspunten!A51</f>
        <v>Niet vergoede curtailment waterkracht, wind en grootschalig PV. Dit is beschikbare energie die niet benut kan worden omdat ze opgewekt wordt op een moment dat er geen vraag naar is.</v>
      </c>
      <c r="B72" s="1784"/>
      <c r="C72" s="1784"/>
      <c r="D72" s="826">
        <f>+Uitgangspunten!B51</f>
        <v>1.4999999999999999E-2</v>
      </c>
    </row>
    <row r="73" spans="1:18" ht="62.45" customHeight="1" x14ac:dyDescent="0.25">
      <c r="A73" s="1131"/>
      <c r="B73" s="208" t="s">
        <v>19</v>
      </c>
      <c r="C73" s="1131"/>
      <c r="D73" s="1104"/>
    </row>
    <row r="74" spans="1:18" ht="90" x14ac:dyDescent="0.25">
      <c r="B74" s="102" t="s">
        <v>11</v>
      </c>
      <c r="C74" s="1164" t="s">
        <v>694</v>
      </c>
      <c r="D74" s="102" t="s">
        <v>11</v>
      </c>
      <c r="E74" s="1164" t="s">
        <v>694</v>
      </c>
      <c r="F74" s="102" t="s">
        <v>11</v>
      </c>
      <c r="G74" s="1164" t="s">
        <v>694</v>
      </c>
      <c r="H74" s="102" t="s">
        <v>11</v>
      </c>
      <c r="I74" s="1164" t="s">
        <v>694</v>
      </c>
      <c r="J74" s="102" t="s">
        <v>11</v>
      </c>
      <c r="K74" s="102" t="s">
        <v>11</v>
      </c>
      <c r="L74" s="102" t="s">
        <v>11</v>
      </c>
      <c r="M74" s="1164" t="s">
        <v>694</v>
      </c>
      <c r="O74" s="167" t="s">
        <v>13</v>
      </c>
      <c r="P74" s="171" t="s">
        <v>352</v>
      </c>
      <c r="Q74" s="171" t="s">
        <v>182</v>
      </c>
      <c r="R74" s="167" t="s">
        <v>274</v>
      </c>
    </row>
    <row r="75" spans="1:18" x14ac:dyDescent="0.25">
      <c r="A75" s="218"/>
      <c r="B75" s="102" t="s">
        <v>850</v>
      </c>
      <c r="C75" s="1117"/>
      <c r="D75" s="1178" t="s">
        <v>933</v>
      </c>
      <c r="E75" s="1117"/>
      <c r="F75" s="102" t="s">
        <v>852</v>
      </c>
      <c r="G75" s="1117"/>
      <c r="H75" s="102" t="s">
        <v>853</v>
      </c>
      <c r="I75" s="1117"/>
      <c r="J75" s="102" t="s">
        <v>854</v>
      </c>
      <c r="K75" s="1105"/>
      <c r="L75" s="1105"/>
      <c r="M75" s="1117"/>
      <c r="O75" s="165"/>
      <c r="P75" s="136"/>
      <c r="Q75" s="171"/>
      <c r="R75" s="167"/>
    </row>
    <row r="76" spans="1:18" x14ac:dyDescent="0.25">
      <c r="A76" s="208">
        <v>2013</v>
      </c>
      <c r="B76" s="102">
        <v>0</v>
      </c>
      <c r="C76" s="1165">
        <f t="shared" ref="C76:C100" si="16">+B76*$D$68/10^3*(E$55-D$70)</f>
        <v>0</v>
      </c>
      <c r="D76" s="102">
        <v>0</v>
      </c>
      <c r="E76" s="1165">
        <f t="shared" ref="E76:E100" si="17">+D76*$D$68/10^3*(G$55-D$70)</f>
        <v>0</v>
      </c>
      <c r="F76" s="102">
        <v>0</v>
      </c>
      <c r="G76" s="1165">
        <f t="shared" ref="G76:G100" si="18">+F76*$D$68/10^3*(J$55-D$70)</f>
        <v>0</v>
      </c>
      <c r="H76" s="102">
        <v>0</v>
      </c>
      <c r="I76" s="1165">
        <f t="shared" ref="I76:I100" si="19">+H76*$D$68/10^3*(K$55-D$70)</f>
        <v>0</v>
      </c>
      <c r="J76" s="102">
        <v>0</v>
      </c>
      <c r="K76" s="102">
        <v>0</v>
      </c>
      <c r="L76" s="102">
        <v>0</v>
      </c>
      <c r="M76" s="1165">
        <f>SUM(J76:L76)*$D$68/10^3*(D$69-D$70)</f>
        <v>0</v>
      </c>
      <c r="O76" s="136">
        <f>SUM(J76:L76)+B76+D76+F76+H76</f>
        <v>0</v>
      </c>
      <c r="P76" s="222">
        <f t="shared" ref="P76:P101" si="20">+O76*D$68/10^6*(100%-D$72)</f>
        <v>0</v>
      </c>
      <c r="Q76" s="222">
        <f t="shared" ref="Q76:Q101" si="21">+O76*D$67/10^6</f>
        <v>0</v>
      </c>
      <c r="R76" s="198">
        <f>+C76+E76+G76+I76+M76</f>
        <v>0</v>
      </c>
    </row>
    <row r="77" spans="1:18" x14ac:dyDescent="0.25">
      <c r="A77" s="208">
        <v>2014</v>
      </c>
      <c r="B77" s="102">
        <v>0</v>
      </c>
      <c r="C77" s="1165">
        <f t="shared" si="16"/>
        <v>0</v>
      </c>
      <c r="D77" s="102">
        <v>0</v>
      </c>
      <c r="E77" s="1165">
        <f t="shared" si="17"/>
        <v>0</v>
      </c>
      <c r="F77" s="102">
        <v>0</v>
      </c>
      <c r="G77" s="1165">
        <f t="shared" si="18"/>
        <v>0</v>
      </c>
      <c r="H77" s="102">
        <v>0</v>
      </c>
      <c r="I77" s="1165">
        <f t="shared" si="19"/>
        <v>0</v>
      </c>
      <c r="J77" s="102">
        <v>0</v>
      </c>
      <c r="K77" s="102">
        <v>0</v>
      </c>
      <c r="L77" s="102">
        <v>0</v>
      </c>
      <c r="M77" s="1165">
        <f t="shared" ref="M77:M85" si="22">SUM(J77:L77)*$D$68/10^3*(D$69-D$70)</f>
        <v>0</v>
      </c>
      <c r="O77" s="136">
        <f t="shared" ref="O77:O100" si="23">SUM(J77:L77)+B77+D77+F77+H77</f>
        <v>0</v>
      </c>
      <c r="P77" s="222">
        <f t="shared" si="20"/>
        <v>0</v>
      </c>
      <c r="Q77" s="222">
        <f t="shared" si="21"/>
        <v>0</v>
      </c>
      <c r="R77" s="198">
        <f t="shared" ref="R77:R101" si="24">+C77+E77+G77+I77+M77</f>
        <v>0</v>
      </c>
    </row>
    <row r="78" spans="1:18" x14ac:dyDescent="0.25">
      <c r="A78" s="208">
        <v>2015</v>
      </c>
      <c r="B78" s="102">
        <f>+E54</f>
        <v>130</v>
      </c>
      <c r="C78" s="1165">
        <f t="shared" si="16"/>
        <v>46.643999999999998</v>
      </c>
      <c r="D78" s="1106">
        <v>0</v>
      </c>
      <c r="E78" s="1165">
        <f t="shared" si="17"/>
        <v>0</v>
      </c>
      <c r="F78" s="102">
        <v>0</v>
      </c>
      <c r="G78" s="1165">
        <f t="shared" si="18"/>
        <v>0</v>
      </c>
      <c r="H78" s="102">
        <v>0</v>
      </c>
      <c r="I78" s="1165">
        <f t="shared" si="19"/>
        <v>0</v>
      </c>
      <c r="J78" s="102">
        <v>0</v>
      </c>
      <c r="K78" s="102">
        <v>0</v>
      </c>
      <c r="L78" s="102">
        <v>0</v>
      </c>
      <c r="M78" s="1165">
        <f t="shared" si="22"/>
        <v>0</v>
      </c>
      <c r="O78" s="136">
        <f t="shared" si="23"/>
        <v>130</v>
      </c>
      <c r="P78" s="222">
        <f t="shared" si="20"/>
        <v>0.49939499999999998</v>
      </c>
      <c r="Q78" s="222">
        <f t="shared" si="21"/>
        <v>0.50700000000000001</v>
      </c>
      <c r="R78" s="198">
        <f t="shared" si="24"/>
        <v>46.643999999999998</v>
      </c>
    </row>
    <row r="79" spans="1:18" x14ac:dyDescent="0.25">
      <c r="A79" s="208">
        <v>2016</v>
      </c>
      <c r="B79" s="102">
        <v>130</v>
      </c>
      <c r="C79" s="1165">
        <f t="shared" si="16"/>
        <v>46.643999999999998</v>
      </c>
      <c r="D79" s="1106">
        <v>0</v>
      </c>
      <c r="E79" s="1165">
        <f t="shared" si="17"/>
        <v>0</v>
      </c>
      <c r="F79" s="1106">
        <v>0</v>
      </c>
      <c r="G79" s="1165">
        <f t="shared" si="18"/>
        <v>0</v>
      </c>
      <c r="H79" s="102">
        <v>0</v>
      </c>
      <c r="I79" s="1165">
        <f t="shared" si="19"/>
        <v>0</v>
      </c>
      <c r="J79" s="102">
        <v>0</v>
      </c>
      <c r="K79" s="102">
        <v>0</v>
      </c>
      <c r="L79" s="102">
        <v>0</v>
      </c>
      <c r="M79" s="1165">
        <f t="shared" si="22"/>
        <v>0</v>
      </c>
      <c r="O79" s="136">
        <f t="shared" si="23"/>
        <v>130</v>
      </c>
      <c r="P79" s="222">
        <f t="shared" si="20"/>
        <v>0.49939499999999998</v>
      </c>
      <c r="Q79" s="222">
        <f t="shared" si="21"/>
        <v>0.50700000000000001</v>
      </c>
      <c r="R79" s="198">
        <f t="shared" si="24"/>
        <v>46.643999999999998</v>
      </c>
    </row>
    <row r="80" spans="1:18" x14ac:dyDescent="0.25">
      <c r="A80" s="208">
        <v>2017</v>
      </c>
      <c r="B80" s="102">
        <v>130</v>
      </c>
      <c r="C80" s="1165">
        <f t="shared" si="16"/>
        <v>46.643999999999998</v>
      </c>
      <c r="D80" s="1106">
        <f>+G54</f>
        <v>600</v>
      </c>
      <c r="E80" s="1165">
        <f t="shared" si="17"/>
        <v>329.94000000000005</v>
      </c>
      <c r="F80" s="1106">
        <v>0</v>
      </c>
      <c r="G80" s="1165">
        <f t="shared" si="18"/>
        <v>0</v>
      </c>
      <c r="H80" s="1106">
        <v>0</v>
      </c>
      <c r="I80" s="1165">
        <f t="shared" si="19"/>
        <v>0</v>
      </c>
      <c r="J80" s="102">
        <v>0</v>
      </c>
      <c r="K80" s="102">
        <v>0</v>
      </c>
      <c r="L80" s="102">
        <v>0</v>
      </c>
      <c r="M80" s="1165">
        <f t="shared" si="22"/>
        <v>0</v>
      </c>
      <c r="O80" s="136">
        <f t="shared" si="23"/>
        <v>730</v>
      </c>
      <c r="P80" s="222">
        <f t="shared" si="20"/>
        <v>2.8042949999999998</v>
      </c>
      <c r="Q80" s="222">
        <f t="shared" si="21"/>
        <v>2.847</v>
      </c>
      <c r="R80" s="198">
        <f t="shared" si="24"/>
        <v>376.58400000000006</v>
      </c>
    </row>
    <row r="81" spans="1:20" x14ac:dyDescent="0.25">
      <c r="A81" s="208">
        <v>2018</v>
      </c>
      <c r="B81" s="102">
        <v>130</v>
      </c>
      <c r="C81" s="1165">
        <f t="shared" si="16"/>
        <v>46.643999999999998</v>
      </c>
      <c r="D81" s="1106">
        <v>600</v>
      </c>
      <c r="E81" s="1165">
        <f t="shared" si="17"/>
        <v>329.94000000000005</v>
      </c>
      <c r="F81" s="1106">
        <v>0</v>
      </c>
      <c r="G81" s="1165">
        <f t="shared" si="18"/>
        <v>0</v>
      </c>
      <c r="H81" s="1106">
        <v>0</v>
      </c>
      <c r="I81" s="1165">
        <f t="shared" si="19"/>
        <v>0</v>
      </c>
      <c r="J81" s="1106">
        <v>0</v>
      </c>
      <c r="K81" s="102">
        <v>0</v>
      </c>
      <c r="L81" s="102">
        <v>0</v>
      </c>
      <c r="M81" s="1165">
        <f t="shared" si="22"/>
        <v>0</v>
      </c>
      <c r="O81" s="136">
        <f t="shared" si="23"/>
        <v>730</v>
      </c>
      <c r="P81" s="222">
        <f t="shared" si="20"/>
        <v>2.8042949999999998</v>
      </c>
      <c r="Q81" s="222">
        <f t="shared" si="21"/>
        <v>2.847</v>
      </c>
      <c r="R81" s="198">
        <f t="shared" si="24"/>
        <v>376.58400000000006</v>
      </c>
    </row>
    <row r="82" spans="1:20" x14ac:dyDescent="0.25">
      <c r="A82" s="208">
        <v>2019</v>
      </c>
      <c r="B82" s="102">
        <v>130</v>
      </c>
      <c r="C82" s="1165">
        <f t="shared" si="16"/>
        <v>46.643999999999998</v>
      </c>
      <c r="D82" s="1106">
        <v>600</v>
      </c>
      <c r="E82" s="1165">
        <f t="shared" si="17"/>
        <v>329.94000000000005</v>
      </c>
      <c r="F82" s="1106">
        <v>0</v>
      </c>
      <c r="G82" s="1165">
        <f t="shared" si="18"/>
        <v>0</v>
      </c>
      <c r="H82" s="1106">
        <v>0</v>
      </c>
      <c r="I82" s="1165">
        <f t="shared" si="19"/>
        <v>0</v>
      </c>
      <c r="J82" s="1106">
        <v>0</v>
      </c>
      <c r="K82" s="1106">
        <v>0</v>
      </c>
      <c r="L82" s="102">
        <v>0</v>
      </c>
      <c r="M82" s="1165">
        <f t="shared" si="22"/>
        <v>0</v>
      </c>
      <c r="O82" s="136">
        <f t="shared" si="23"/>
        <v>730</v>
      </c>
      <c r="P82" s="222">
        <f t="shared" si="20"/>
        <v>2.8042949999999998</v>
      </c>
      <c r="Q82" s="222">
        <f t="shared" si="21"/>
        <v>2.847</v>
      </c>
      <c r="R82" s="198">
        <f t="shared" si="24"/>
        <v>376.58400000000006</v>
      </c>
    </row>
    <row r="83" spans="1:20" x14ac:dyDescent="0.25">
      <c r="A83" s="208">
        <v>2020</v>
      </c>
      <c r="B83" s="102">
        <v>130</v>
      </c>
      <c r="C83" s="1165">
        <f t="shared" si="16"/>
        <v>46.643999999999998</v>
      </c>
      <c r="D83" s="1106">
        <v>600</v>
      </c>
      <c r="E83" s="1165">
        <f>+D83*$D$68/10^3*(G$55-D$70)</f>
        <v>329.94000000000005</v>
      </c>
      <c r="F83" s="1106">
        <f>+J54</f>
        <v>700</v>
      </c>
      <c r="G83" s="1165">
        <f t="shared" si="18"/>
        <v>122.03100000000001</v>
      </c>
      <c r="H83" s="1106">
        <f>+K54</f>
        <v>680</v>
      </c>
      <c r="I83" s="1165">
        <f t="shared" si="19"/>
        <v>70.277999999999992</v>
      </c>
      <c r="J83" s="1106">
        <v>0</v>
      </c>
      <c r="K83" s="1106">
        <v>0</v>
      </c>
      <c r="L83" s="102">
        <v>0</v>
      </c>
      <c r="M83" s="1165">
        <f t="shared" si="22"/>
        <v>0</v>
      </c>
      <c r="O83" s="136">
        <f t="shared" si="23"/>
        <v>2110</v>
      </c>
      <c r="P83" s="222">
        <f t="shared" si="20"/>
        <v>8.1055649999999986</v>
      </c>
      <c r="Q83" s="222">
        <f t="shared" si="21"/>
        <v>8.2289999999999992</v>
      </c>
      <c r="R83" s="198">
        <f t="shared" si="24"/>
        <v>568.89300000000003</v>
      </c>
      <c r="S83" s="214">
        <f>SUM(R76:R83)</f>
        <v>1791.9330000000002</v>
      </c>
      <c r="T83" s="208" t="s">
        <v>46</v>
      </c>
    </row>
    <row r="84" spans="1:20" x14ac:dyDescent="0.25">
      <c r="A84" s="208">
        <v>2021</v>
      </c>
      <c r="B84" s="102">
        <v>130</v>
      </c>
      <c r="C84" s="1165">
        <f t="shared" si="16"/>
        <v>46.643999999999998</v>
      </c>
      <c r="D84" s="1106">
        <v>600</v>
      </c>
      <c r="E84" s="1165">
        <f t="shared" si="17"/>
        <v>329.94000000000005</v>
      </c>
      <c r="F84" s="1106">
        <v>700</v>
      </c>
      <c r="G84" s="1165">
        <f t="shared" si="18"/>
        <v>122.03100000000001</v>
      </c>
      <c r="H84" s="1106">
        <v>680</v>
      </c>
      <c r="I84" s="1165">
        <f t="shared" si="19"/>
        <v>70.277999999999992</v>
      </c>
      <c r="J84" s="1106">
        <f>+D64</f>
        <v>704</v>
      </c>
      <c r="K84" s="1106">
        <v>0</v>
      </c>
      <c r="L84" s="102">
        <v>0</v>
      </c>
      <c r="M84" s="1165">
        <f t="shared" si="22"/>
        <v>60.403200000000005</v>
      </c>
      <c r="O84" s="136">
        <f t="shared" si="23"/>
        <v>2814</v>
      </c>
      <c r="P84" s="222">
        <f t="shared" si="20"/>
        <v>10.809981000000001</v>
      </c>
      <c r="Q84" s="222">
        <f t="shared" si="21"/>
        <v>10.974600000000001</v>
      </c>
      <c r="R84" s="198">
        <f t="shared" si="24"/>
        <v>629.2962</v>
      </c>
    </row>
    <row r="85" spans="1:20" x14ac:dyDescent="0.25">
      <c r="A85" s="208">
        <v>2022</v>
      </c>
      <c r="B85" s="102">
        <v>130</v>
      </c>
      <c r="C85" s="1165">
        <f t="shared" si="16"/>
        <v>46.643999999999998</v>
      </c>
      <c r="D85" s="1106">
        <v>600</v>
      </c>
      <c r="E85" s="1165">
        <f t="shared" si="17"/>
        <v>329.94000000000005</v>
      </c>
      <c r="F85" s="1106">
        <v>700</v>
      </c>
      <c r="G85" s="1165">
        <f t="shared" si="18"/>
        <v>122.03100000000001</v>
      </c>
      <c r="H85" s="1106">
        <v>680</v>
      </c>
      <c r="I85" s="1165">
        <f t="shared" si="19"/>
        <v>70.277999999999992</v>
      </c>
      <c r="J85" s="1106">
        <f>+J84</f>
        <v>704</v>
      </c>
      <c r="K85" s="1106">
        <f>+D64</f>
        <v>704</v>
      </c>
      <c r="L85" s="102">
        <v>0</v>
      </c>
      <c r="M85" s="1165">
        <f t="shared" si="22"/>
        <v>120.80640000000001</v>
      </c>
      <c r="O85" s="136">
        <f t="shared" si="23"/>
        <v>3518</v>
      </c>
      <c r="P85" s="222">
        <f t="shared" si="20"/>
        <v>13.514397000000001</v>
      </c>
      <c r="Q85" s="222">
        <f t="shared" si="21"/>
        <v>13.7202</v>
      </c>
      <c r="R85" s="198">
        <f t="shared" si="24"/>
        <v>689.69940000000008</v>
      </c>
    </row>
    <row r="86" spans="1:20" x14ac:dyDescent="0.25">
      <c r="A86" s="208">
        <v>2023</v>
      </c>
      <c r="B86" s="102">
        <v>130</v>
      </c>
      <c r="C86" s="1165">
        <f t="shared" si="16"/>
        <v>46.643999999999998</v>
      </c>
      <c r="D86" s="1106">
        <v>600</v>
      </c>
      <c r="E86" s="1165">
        <f t="shared" si="17"/>
        <v>329.94000000000005</v>
      </c>
      <c r="F86" s="1106">
        <v>700</v>
      </c>
      <c r="G86" s="1165">
        <f t="shared" si="18"/>
        <v>122.03100000000001</v>
      </c>
      <c r="H86" s="1106">
        <v>680</v>
      </c>
      <c r="I86" s="1165">
        <f t="shared" si="19"/>
        <v>70.277999999999992</v>
      </c>
      <c r="J86" s="1106">
        <f t="shared" ref="J86:J98" si="25">+J85</f>
        <v>704</v>
      </c>
      <c r="K86" s="1106">
        <f t="shared" ref="K86:K99" si="26">+K85</f>
        <v>704</v>
      </c>
      <c r="L86" s="1106">
        <f>+D64</f>
        <v>704</v>
      </c>
      <c r="M86" s="1165">
        <f>SUM(J86:L86)*$D$68/10^3*(D$69-D$70)</f>
        <v>181.20959999999999</v>
      </c>
      <c r="O86" s="136">
        <f t="shared" si="23"/>
        <v>4222</v>
      </c>
      <c r="P86" s="222">
        <f t="shared" si="20"/>
        <v>16.218813000000001</v>
      </c>
      <c r="Q86" s="222">
        <f t="shared" si="21"/>
        <v>16.465800000000002</v>
      </c>
      <c r="R86" s="198">
        <f t="shared" si="24"/>
        <v>750.10260000000005</v>
      </c>
    </row>
    <row r="87" spans="1:20" x14ac:dyDescent="0.25">
      <c r="A87" s="208">
        <v>2024</v>
      </c>
      <c r="B87" s="102">
        <v>130</v>
      </c>
      <c r="C87" s="1165">
        <f t="shared" si="16"/>
        <v>46.643999999999998</v>
      </c>
      <c r="D87" s="1106">
        <v>600</v>
      </c>
      <c r="E87" s="1165">
        <f t="shared" si="17"/>
        <v>329.94000000000005</v>
      </c>
      <c r="F87" s="1106">
        <v>700</v>
      </c>
      <c r="G87" s="1165">
        <f t="shared" si="18"/>
        <v>122.03100000000001</v>
      </c>
      <c r="H87" s="1106">
        <v>680</v>
      </c>
      <c r="I87" s="1165">
        <f t="shared" si="19"/>
        <v>70.277999999999992</v>
      </c>
      <c r="J87" s="1106">
        <f t="shared" si="25"/>
        <v>704</v>
      </c>
      <c r="K87" s="1106">
        <f t="shared" si="26"/>
        <v>704</v>
      </c>
      <c r="L87" s="1106">
        <f t="shared" ref="L87:L100" si="27">+L86</f>
        <v>704</v>
      </c>
      <c r="M87" s="1165">
        <f t="shared" ref="M87:M100" si="28">SUM(J87:L87)*$D$68/10^3*(D$69-D$70)</f>
        <v>181.20959999999999</v>
      </c>
      <c r="O87" s="136">
        <f t="shared" si="23"/>
        <v>4222</v>
      </c>
      <c r="P87" s="222">
        <f t="shared" si="20"/>
        <v>16.218813000000001</v>
      </c>
      <c r="Q87" s="222">
        <f t="shared" si="21"/>
        <v>16.465800000000002</v>
      </c>
      <c r="R87" s="198">
        <f t="shared" si="24"/>
        <v>750.10260000000005</v>
      </c>
    </row>
    <row r="88" spans="1:20" x14ac:dyDescent="0.25">
      <c r="A88" s="208">
        <v>2025</v>
      </c>
      <c r="B88" s="102">
        <v>130</v>
      </c>
      <c r="C88" s="1165">
        <f t="shared" si="16"/>
        <v>46.643999999999998</v>
      </c>
      <c r="D88" s="1106">
        <v>600</v>
      </c>
      <c r="E88" s="1165">
        <f t="shared" si="17"/>
        <v>329.94000000000005</v>
      </c>
      <c r="F88" s="1106">
        <v>700</v>
      </c>
      <c r="G88" s="1165">
        <f t="shared" si="18"/>
        <v>122.03100000000001</v>
      </c>
      <c r="H88" s="1106">
        <v>680</v>
      </c>
      <c r="I88" s="1165">
        <f t="shared" si="19"/>
        <v>70.277999999999992</v>
      </c>
      <c r="J88" s="1106">
        <f t="shared" si="25"/>
        <v>704</v>
      </c>
      <c r="K88" s="1106">
        <f t="shared" si="26"/>
        <v>704</v>
      </c>
      <c r="L88" s="1106">
        <f t="shared" si="27"/>
        <v>704</v>
      </c>
      <c r="M88" s="1165">
        <f t="shared" si="28"/>
        <v>181.20959999999999</v>
      </c>
      <c r="O88" s="136">
        <f t="shared" si="23"/>
        <v>4222</v>
      </c>
      <c r="P88" s="222">
        <f t="shared" si="20"/>
        <v>16.218813000000001</v>
      </c>
      <c r="Q88" s="222">
        <f t="shared" si="21"/>
        <v>16.465800000000002</v>
      </c>
      <c r="R88" s="198">
        <f t="shared" si="24"/>
        <v>750.10260000000005</v>
      </c>
    </row>
    <row r="89" spans="1:20" x14ac:dyDescent="0.25">
      <c r="A89" s="208">
        <v>2026</v>
      </c>
      <c r="B89" s="102">
        <v>130</v>
      </c>
      <c r="C89" s="1165">
        <f t="shared" si="16"/>
        <v>46.643999999999998</v>
      </c>
      <c r="D89" s="1106">
        <v>600</v>
      </c>
      <c r="E89" s="1165">
        <f t="shared" si="17"/>
        <v>329.94000000000005</v>
      </c>
      <c r="F89" s="1106">
        <v>700</v>
      </c>
      <c r="G89" s="1165">
        <f t="shared" si="18"/>
        <v>122.03100000000001</v>
      </c>
      <c r="H89" s="1106">
        <v>680</v>
      </c>
      <c r="I89" s="1165">
        <f t="shared" si="19"/>
        <v>70.277999999999992</v>
      </c>
      <c r="J89" s="1106">
        <f t="shared" si="25"/>
        <v>704</v>
      </c>
      <c r="K89" s="1106">
        <f t="shared" si="26"/>
        <v>704</v>
      </c>
      <c r="L89" s="1106">
        <f t="shared" si="27"/>
        <v>704</v>
      </c>
      <c r="M89" s="1165">
        <f t="shared" si="28"/>
        <v>181.20959999999999</v>
      </c>
      <c r="O89" s="136">
        <f t="shared" si="23"/>
        <v>4222</v>
      </c>
      <c r="P89" s="222">
        <f t="shared" si="20"/>
        <v>16.218813000000001</v>
      </c>
      <c r="Q89" s="222">
        <f t="shared" si="21"/>
        <v>16.465800000000002</v>
      </c>
      <c r="R89" s="198">
        <f t="shared" si="24"/>
        <v>750.10260000000005</v>
      </c>
    </row>
    <row r="90" spans="1:20" x14ac:dyDescent="0.25">
      <c r="A90" s="208">
        <v>2027</v>
      </c>
      <c r="B90" s="102">
        <v>130</v>
      </c>
      <c r="C90" s="1165">
        <f t="shared" si="16"/>
        <v>46.643999999999998</v>
      </c>
      <c r="D90" s="1106">
        <v>600</v>
      </c>
      <c r="E90" s="1165">
        <f t="shared" si="17"/>
        <v>329.94000000000005</v>
      </c>
      <c r="F90" s="1106">
        <v>700</v>
      </c>
      <c r="G90" s="1165">
        <f t="shared" si="18"/>
        <v>122.03100000000001</v>
      </c>
      <c r="H90" s="1106">
        <v>680</v>
      </c>
      <c r="I90" s="1165">
        <f t="shared" si="19"/>
        <v>70.277999999999992</v>
      </c>
      <c r="J90" s="1106">
        <f t="shared" si="25"/>
        <v>704</v>
      </c>
      <c r="K90" s="1106">
        <f t="shared" si="26"/>
        <v>704</v>
      </c>
      <c r="L90" s="1106">
        <f t="shared" si="27"/>
        <v>704</v>
      </c>
      <c r="M90" s="1165">
        <f t="shared" si="28"/>
        <v>181.20959999999999</v>
      </c>
      <c r="O90" s="136">
        <f t="shared" si="23"/>
        <v>4222</v>
      </c>
      <c r="P90" s="222">
        <f t="shared" si="20"/>
        <v>16.218813000000001</v>
      </c>
      <c r="Q90" s="222">
        <f t="shared" si="21"/>
        <v>16.465800000000002</v>
      </c>
      <c r="R90" s="198">
        <f t="shared" si="24"/>
        <v>750.10260000000005</v>
      </c>
    </row>
    <row r="91" spans="1:20" x14ac:dyDescent="0.25">
      <c r="A91" s="208">
        <v>2028</v>
      </c>
      <c r="B91" s="102">
        <v>130</v>
      </c>
      <c r="C91" s="1165">
        <f t="shared" si="16"/>
        <v>46.643999999999998</v>
      </c>
      <c r="D91" s="1106">
        <v>600</v>
      </c>
      <c r="E91" s="1165">
        <f t="shared" si="17"/>
        <v>329.94000000000005</v>
      </c>
      <c r="F91" s="1106">
        <v>700</v>
      </c>
      <c r="G91" s="1165">
        <f t="shared" si="18"/>
        <v>122.03100000000001</v>
      </c>
      <c r="H91" s="1106">
        <v>680</v>
      </c>
      <c r="I91" s="1165">
        <f t="shared" si="19"/>
        <v>70.277999999999992</v>
      </c>
      <c r="J91" s="1106">
        <f t="shared" si="25"/>
        <v>704</v>
      </c>
      <c r="K91" s="1106">
        <f t="shared" si="26"/>
        <v>704</v>
      </c>
      <c r="L91" s="1106">
        <f t="shared" si="27"/>
        <v>704</v>
      </c>
      <c r="M91" s="1165">
        <f t="shared" si="28"/>
        <v>181.20959999999999</v>
      </c>
      <c r="O91" s="136">
        <f t="shared" si="23"/>
        <v>4222</v>
      </c>
      <c r="P91" s="222">
        <f t="shared" si="20"/>
        <v>16.218813000000001</v>
      </c>
      <c r="Q91" s="222">
        <f t="shared" si="21"/>
        <v>16.465800000000002</v>
      </c>
      <c r="R91" s="198">
        <f t="shared" si="24"/>
        <v>750.10260000000005</v>
      </c>
    </row>
    <row r="92" spans="1:20" x14ac:dyDescent="0.25">
      <c r="A92" s="208">
        <v>2029</v>
      </c>
      <c r="B92" s="102">
        <v>130</v>
      </c>
      <c r="C92" s="1165">
        <f t="shared" si="16"/>
        <v>46.643999999999998</v>
      </c>
      <c r="D92" s="1106">
        <v>600</v>
      </c>
      <c r="E92" s="1165">
        <f t="shared" si="17"/>
        <v>329.94000000000005</v>
      </c>
      <c r="F92" s="1106">
        <v>700</v>
      </c>
      <c r="G92" s="1165">
        <f t="shared" si="18"/>
        <v>122.03100000000001</v>
      </c>
      <c r="H92" s="1106">
        <v>680</v>
      </c>
      <c r="I92" s="1165">
        <f t="shared" si="19"/>
        <v>70.277999999999992</v>
      </c>
      <c r="J92" s="1106">
        <f t="shared" si="25"/>
        <v>704</v>
      </c>
      <c r="K92" s="1106">
        <f t="shared" si="26"/>
        <v>704</v>
      </c>
      <c r="L92" s="1106">
        <f t="shared" si="27"/>
        <v>704</v>
      </c>
      <c r="M92" s="1165">
        <f t="shared" si="28"/>
        <v>181.20959999999999</v>
      </c>
      <c r="O92" s="136">
        <f t="shared" si="23"/>
        <v>4222</v>
      </c>
      <c r="P92" s="222">
        <f t="shared" si="20"/>
        <v>16.218813000000001</v>
      </c>
      <c r="Q92" s="222">
        <f t="shared" si="21"/>
        <v>16.465800000000002</v>
      </c>
      <c r="R92" s="198">
        <f t="shared" si="24"/>
        <v>750.10260000000005</v>
      </c>
    </row>
    <row r="93" spans="1:20" x14ac:dyDescent="0.25">
      <c r="A93" s="208">
        <v>2030</v>
      </c>
      <c r="B93" s="102">
        <v>0</v>
      </c>
      <c r="C93" s="1165">
        <f t="shared" si="16"/>
        <v>0</v>
      </c>
      <c r="D93" s="1106">
        <v>600</v>
      </c>
      <c r="E93" s="1165">
        <f t="shared" si="17"/>
        <v>329.94000000000005</v>
      </c>
      <c r="F93" s="1106">
        <v>700</v>
      </c>
      <c r="G93" s="1165">
        <f t="shared" si="18"/>
        <v>122.03100000000001</v>
      </c>
      <c r="H93" s="1106">
        <v>680</v>
      </c>
      <c r="I93" s="1165">
        <f t="shared" si="19"/>
        <v>70.277999999999992</v>
      </c>
      <c r="J93" s="1106">
        <f t="shared" si="25"/>
        <v>704</v>
      </c>
      <c r="K93" s="1106">
        <f t="shared" si="26"/>
        <v>704</v>
      </c>
      <c r="L93" s="1106">
        <f t="shared" si="27"/>
        <v>704</v>
      </c>
      <c r="M93" s="1165">
        <f>SUM(J93:L93)*$D$68/10^3*(D$69-D$70)</f>
        <v>181.20959999999999</v>
      </c>
      <c r="O93" s="136">
        <f t="shared" si="23"/>
        <v>4092</v>
      </c>
      <c r="P93" s="222">
        <f t="shared" si="20"/>
        <v>15.719417999999999</v>
      </c>
      <c r="Q93" s="222">
        <f t="shared" si="21"/>
        <v>15.9588</v>
      </c>
      <c r="R93" s="198">
        <f t="shared" si="24"/>
        <v>703.45860000000005</v>
      </c>
    </row>
    <row r="94" spans="1:20" x14ac:dyDescent="0.25">
      <c r="A94" s="208">
        <v>2031</v>
      </c>
      <c r="B94" s="102">
        <v>0</v>
      </c>
      <c r="C94" s="1165">
        <f t="shared" si="16"/>
        <v>0</v>
      </c>
      <c r="D94" s="1106">
        <v>600</v>
      </c>
      <c r="E94" s="1165">
        <f t="shared" si="17"/>
        <v>329.94000000000005</v>
      </c>
      <c r="F94" s="1106">
        <v>700</v>
      </c>
      <c r="G94" s="1165">
        <f t="shared" si="18"/>
        <v>122.03100000000001</v>
      </c>
      <c r="H94" s="1106">
        <v>680</v>
      </c>
      <c r="I94" s="1165">
        <f t="shared" si="19"/>
        <v>70.277999999999992</v>
      </c>
      <c r="J94" s="1106">
        <f t="shared" si="25"/>
        <v>704</v>
      </c>
      <c r="K94" s="1106">
        <f t="shared" si="26"/>
        <v>704</v>
      </c>
      <c r="L94" s="1106">
        <f t="shared" si="27"/>
        <v>704</v>
      </c>
      <c r="M94" s="1165">
        <f t="shared" si="28"/>
        <v>181.20959999999999</v>
      </c>
      <c r="O94" s="136">
        <f t="shared" si="23"/>
        <v>4092</v>
      </c>
      <c r="P94" s="222">
        <f t="shared" si="20"/>
        <v>15.719417999999999</v>
      </c>
      <c r="Q94" s="222">
        <f t="shared" si="21"/>
        <v>15.9588</v>
      </c>
      <c r="R94" s="198">
        <f t="shared" si="24"/>
        <v>703.45860000000005</v>
      </c>
    </row>
    <row r="95" spans="1:20" x14ac:dyDescent="0.25">
      <c r="A95" s="208">
        <v>2032</v>
      </c>
      <c r="B95" s="102">
        <v>0</v>
      </c>
      <c r="C95" s="1165">
        <f t="shared" si="16"/>
        <v>0</v>
      </c>
      <c r="D95" s="1106">
        <v>0</v>
      </c>
      <c r="E95" s="1165">
        <f t="shared" si="17"/>
        <v>0</v>
      </c>
      <c r="F95" s="1106">
        <v>700</v>
      </c>
      <c r="G95" s="1165">
        <f t="shared" si="18"/>
        <v>122.03100000000001</v>
      </c>
      <c r="H95" s="1106">
        <v>680</v>
      </c>
      <c r="I95" s="1165">
        <f t="shared" si="19"/>
        <v>70.277999999999992</v>
      </c>
      <c r="J95" s="1106">
        <f t="shared" si="25"/>
        <v>704</v>
      </c>
      <c r="K95" s="1106">
        <f t="shared" si="26"/>
        <v>704</v>
      </c>
      <c r="L95" s="1106">
        <f t="shared" si="27"/>
        <v>704</v>
      </c>
      <c r="M95" s="1165">
        <f t="shared" si="28"/>
        <v>181.20959999999999</v>
      </c>
      <c r="O95" s="136">
        <f t="shared" si="23"/>
        <v>3492</v>
      </c>
      <c r="P95" s="222">
        <f t="shared" si="20"/>
        <v>13.414517999999999</v>
      </c>
      <c r="Q95" s="222">
        <f t="shared" si="21"/>
        <v>13.6188</v>
      </c>
      <c r="R95" s="198">
        <f t="shared" si="24"/>
        <v>373.51859999999999</v>
      </c>
    </row>
    <row r="96" spans="1:20" x14ac:dyDescent="0.25">
      <c r="A96" s="208">
        <v>2033</v>
      </c>
      <c r="B96" s="102">
        <v>0</v>
      </c>
      <c r="C96" s="1165">
        <f t="shared" si="16"/>
        <v>0</v>
      </c>
      <c r="D96" s="1106">
        <v>0</v>
      </c>
      <c r="E96" s="1165">
        <f t="shared" si="17"/>
        <v>0</v>
      </c>
      <c r="F96" s="1106">
        <v>700</v>
      </c>
      <c r="G96" s="1165">
        <f t="shared" si="18"/>
        <v>122.03100000000001</v>
      </c>
      <c r="H96" s="1106">
        <v>680</v>
      </c>
      <c r="I96" s="1165">
        <f t="shared" si="19"/>
        <v>70.277999999999992</v>
      </c>
      <c r="J96" s="1106">
        <f t="shared" si="25"/>
        <v>704</v>
      </c>
      <c r="K96" s="1106">
        <f t="shared" si="26"/>
        <v>704</v>
      </c>
      <c r="L96" s="1106">
        <f t="shared" si="27"/>
        <v>704</v>
      </c>
      <c r="M96" s="1165">
        <f t="shared" si="28"/>
        <v>181.20959999999999</v>
      </c>
      <c r="O96" s="136">
        <f t="shared" si="23"/>
        <v>3492</v>
      </c>
      <c r="P96" s="222">
        <f t="shared" si="20"/>
        <v>13.414517999999999</v>
      </c>
      <c r="Q96" s="222">
        <f t="shared" si="21"/>
        <v>13.6188</v>
      </c>
      <c r="R96" s="198">
        <f t="shared" si="24"/>
        <v>373.51859999999999</v>
      </c>
    </row>
    <row r="97" spans="1:20" x14ac:dyDescent="0.25">
      <c r="A97" s="208">
        <v>2034</v>
      </c>
      <c r="B97" s="102">
        <v>0</v>
      </c>
      <c r="C97" s="1165">
        <f t="shared" si="16"/>
        <v>0</v>
      </c>
      <c r="D97" s="1106">
        <v>0</v>
      </c>
      <c r="E97" s="1165">
        <f t="shared" si="17"/>
        <v>0</v>
      </c>
      <c r="F97" s="1106">
        <v>700</v>
      </c>
      <c r="G97" s="1165">
        <f t="shared" si="18"/>
        <v>122.03100000000001</v>
      </c>
      <c r="H97" s="1106">
        <v>680</v>
      </c>
      <c r="I97" s="1165">
        <f t="shared" si="19"/>
        <v>70.277999999999992</v>
      </c>
      <c r="J97" s="1106">
        <f t="shared" si="25"/>
        <v>704</v>
      </c>
      <c r="K97" s="1106">
        <f t="shared" si="26"/>
        <v>704</v>
      </c>
      <c r="L97" s="1106">
        <f t="shared" si="27"/>
        <v>704</v>
      </c>
      <c r="M97" s="1165">
        <f t="shared" si="28"/>
        <v>181.20959999999999</v>
      </c>
      <c r="O97" s="136">
        <f t="shared" si="23"/>
        <v>3492</v>
      </c>
      <c r="P97" s="222">
        <f t="shared" si="20"/>
        <v>13.414517999999999</v>
      </c>
      <c r="Q97" s="222">
        <f t="shared" si="21"/>
        <v>13.6188</v>
      </c>
      <c r="R97" s="198">
        <f t="shared" si="24"/>
        <v>373.51859999999999</v>
      </c>
    </row>
    <row r="98" spans="1:20" x14ac:dyDescent="0.25">
      <c r="A98" s="208">
        <v>2035</v>
      </c>
      <c r="B98" s="102">
        <v>0</v>
      </c>
      <c r="C98" s="1165">
        <f t="shared" si="16"/>
        <v>0</v>
      </c>
      <c r="D98" s="102">
        <v>0</v>
      </c>
      <c r="E98" s="1165">
        <f t="shared" si="17"/>
        <v>0</v>
      </c>
      <c r="F98" s="1106">
        <v>0</v>
      </c>
      <c r="G98" s="1165">
        <f t="shared" si="18"/>
        <v>0</v>
      </c>
      <c r="H98" s="1106">
        <v>0</v>
      </c>
      <c r="I98" s="1165">
        <f t="shared" si="19"/>
        <v>0</v>
      </c>
      <c r="J98" s="1106">
        <f t="shared" si="25"/>
        <v>704</v>
      </c>
      <c r="K98" s="1106">
        <f t="shared" si="26"/>
        <v>704</v>
      </c>
      <c r="L98" s="1106">
        <f t="shared" si="27"/>
        <v>704</v>
      </c>
      <c r="M98" s="1165">
        <f t="shared" si="28"/>
        <v>181.20959999999999</v>
      </c>
      <c r="O98" s="136">
        <f t="shared" si="23"/>
        <v>2112</v>
      </c>
      <c r="P98" s="222">
        <f t="shared" si="20"/>
        <v>8.1132480000000005</v>
      </c>
      <c r="Q98" s="222">
        <f t="shared" si="21"/>
        <v>8.2368000000000006</v>
      </c>
      <c r="R98" s="198">
        <f t="shared" si="24"/>
        <v>181.20959999999999</v>
      </c>
    </row>
    <row r="99" spans="1:20" x14ac:dyDescent="0.25">
      <c r="A99" s="208">
        <v>2036</v>
      </c>
      <c r="B99" s="102">
        <v>0</v>
      </c>
      <c r="C99" s="1165">
        <f t="shared" si="16"/>
        <v>0</v>
      </c>
      <c r="D99" s="102">
        <v>0</v>
      </c>
      <c r="E99" s="1165">
        <f t="shared" si="17"/>
        <v>0</v>
      </c>
      <c r="F99" s="1106">
        <v>0</v>
      </c>
      <c r="G99" s="1165">
        <f t="shared" si="18"/>
        <v>0</v>
      </c>
      <c r="H99" s="1106">
        <v>0</v>
      </c>
      <c r="I99" s="1165">
        <f t="shared" si="19"/>
        <v>0</v>
      </c>
      <c r="J99" s="1106">
        <v>0</v>
      </c>
      <c r="K99" s="1106">
        <f t="shared" si="26"/>
        <v>704</v>
      </c>
      <c r="L99" s="1106">
        <f t="shared" si="27"/>
        <v>704</v>
      </c>
      <c r="M99" s="1165">
        <f t="shared" si="28"/>
        <v>120.80640000000001</v>
      </c>
      <c r="O99" s="136">
        <f t="shared" si="23"/>
        <v>1408</v>
      </c>
      <c r="P99" s="222">
        <f t="shared" si="20"/>
        <v>5.4088320000000003</v>
      </c>
      <c r="Q99" s="222">
        <f t="shared" si="21"/>
        <v>5.4912000000000001</v>
      </c>
      <c r="R99" s="198">
        <f t="shared" si="24"/>
        <v>120.80640000000001</v>
      </c>
    </row>
    <row r="100" spans="1:20" x14ac:dyDescent="0.25">
      <c r="A100" s="208">
        <v>2037</v>
      </c>
      <c r="B100" s="102">
        <v>0</v>
      </c>
      <c r="C100" s="1165">
        <f t="shared" si="16"/>
        <v>0</v>
      </c>
      <c r="D100" s="102">
        <v>0</v>
      </c>
      <c r="E100" s="1165">
        <f t="shared" si="17"/>
        <v>0</v>
      </c>
      <c r="F100" s="1106">
        <v>0</v>
      </c>
      <c r="G100" s="1165">
        <f t="shared" si="18"/>
        <v>0</v>
      </c>
      <c r="H100" s="1106">
        <v>0</v>
      </c>
      <c r="I100" s="1165">
        <f t="shared" si="19"/>
        <v>0</v>
      </c>
      <c r="J100" s="1106">
        <v>0</v>
      </c>
      <c r="K100" s="1106">
        <v>0</v>
      </c>
      <c r="L100" s="1106">
        <f t="shared" si="27"/>
        <v>704</v>
      </c>
      <c r="M100" s="1165">
        <f t="shared" si="28"/>
        <v>60.403200000000005</v>
      </c>
      <c r="O100" s="136">
        <f t="shared" si="23"/>
        <v>704</v>
      </c>
      <c r="P100" s="222">
        <f t="shared" si="20"/>
        <v>2.7044160000000002</v>
      </c>
      <c r="Q100" s="222">
        <f t="shared" si="21"/>
        <v>2.7456</v>
      </c>
      <c r="R100" s="198">
        <f t="shared" si="24"/>
        <v>60.403200000000005</v>
      </c>
    </row>
    <row r="101" spans="1:20" x14ac:dyDescent="0.25">
      <c r="A101" s="208"/>
      <c r="B101" s="102"/>
      <c r="C101" s="1179"/>
      <c r="D101" s="102"/>
      <c r="E101" s="1179"/>
      <c r="F101" s="1106"/>
      <c r="G101" s="1179"/>
      <c r="H101" s="1106"/>
      <c r="I101" s="1179"/>
      <c r="J101" s="1106"/>
      <c r="K101" s="1106"/>
      <c r="L101" s="102"/>
      <c r="M101" s="1117"/>
      <c r="O101" s="212">
        <f>SUM(J101:M101)+B101+D101+F101+H101</f>
        <v>0</v>
      </c>
      <c r="P101" s="222">
        <f t="shared" si="20"/>
        <v>0</v>
      </c>
      <c r="Q101" s="222">
        <f t="shared" si="21"/>
        <v>0</v>
      </c>
      <c r="R101" s="198">
        <f t="shared" si="24"/>
        <v>0</v>
      </c>
      <c r="S101" s="200">
        <f>SUM(R84:R101)</f>
        <v>9459.6059999999998</v>
      </c>
      <c r="T101" s="208" t="s">
        <v>533</v>
      </c>
    </row>
    <row r="102" spans="1:20" x14ac:dyDescent="0.25">
      <c r="A102" s="215" t="s">
        <v>8</v>
      </c>
      <c r="B102" s="102"/>
      <c r="C102" s="1180">
        <f>SUM(C76:C101)</f>
        <v>699.66</v>
      </c>
      <c r="D102" s="102"/>
      <c r="E102" s="1180">
        <f>SUM(E76:E101)</f>
        <v>4949.1000000000022</v>
      </c>
      <c r="F102" s="102"/>
      <c r="G102" s="1180">
        <f>SUM(G76:G101)</f>
        <v>1830.4649999999995</v>
      </c>
      <c r="H102" s="102"/>
      <c r="I102" s="1180">
        <f>SUM(I76:I101)</f>
        <v>1054.17</v>
      </c>
      <c r="J102" s="102"/>
      <c r="K102" s="102"/>
      <c r="L102" s="102"/>
      <c r="M102" s="1180">
        <f>SUM(M76:M101)</f>
        <v>2718.1440000000002</v>
      </c>
      <c r="O102" s="212"/>
      <c r="P102" s="136"/>
      <c r="Q102" s="216"/>
      <c r="R102" s="217">
        <f>SUM(R76:R100)</f>
        <v>11251.538999999999</v>
      </c>
      <c r="S102" s="65" t="s">
        <v>12</v>
      </c>
    </row>
    <row r="103" spans="1:20" x14ac:dyDescent="0.25">
      <c r="S103" s="65" t="s">
        <v>813</v>
      </c>
    </row>
    <row r="104" spans="1:20" x14ac:dyDescent="0.25">
      <c r="B104" s="65">
        <f>SUM(B76:B100)</f>
        <v>1950</v>
      </c>
      <c r="D104" s="65">
        <f t="shared" ref="D104:L104" si="29">SUM(D76:D100)</f>
        <v>9000</v>
      </c>
      <c r="F104" s="65">
        <f t="shared" si="29"/>
        <v>10500</v>
      </c>
      <c r="H104" s="65">
        <f t="shared" si="29"/>
        <v>10200</v>
      </c>
      <c r="J104" s="65">
        <f t="shared" si="29"/>
        <v>10560</v>
      </c>
      <c r="K104" s="65">
        <f t="shared" si="29"/>
        <v>10560</v>
      </c>
      <c r="L104" s="65">
        <f t="shared" si="29"/>
        <v>10560</v>
      </c>
      <c r="N104" s="65">
        <f>SUM(B104:M104)</f>
        <v>63330</v>
      </c>
    </row>
    <row r="105" spans="1:20" x14ac:dyDescent="0.25">
      <c r="A105" s="208"/>
      <c r="N105" s="65">
        <f>(SUM(J104:L104)/N104)</f>
        <v>0.50023685457129319</v>
      </c>
    </row>
    <row r="106" spans="1:20" x14ac:dyDescent="0.25">
      <c r="A106" s="215" t="s">
        <v>994</v>
      </c>
      <c r="B106" s="956"/>
      <c r="C106" s="956"/>
      <c r="D106" s="956"/>
      <c r="E106" s="956"/>
      <c r="F106" s="956"/>
      <c r="G106" s="956"/>
      <c r="H106" s="956"/>
      <c r="I106" s="956"/>
      <c r="J106" s="956"/>
      <c r="K106" s="956"/>
      <c r="L106" s="956"/>
      <c r="M106" s="956"/>
    </row>
    <row r="108" spans="1:20" x14ac:dyDescent="0.25">
      <c r="A108" s="65" t="s">
        <v>991</v>
      </c>
      <c r="F108" s="363">
        <f>+Uitgangspunten!B48</f>
        <v>25</v>
      </c>
      <c r="G108" s="65" t="s">
        <v>992</v>
      </c>
    </row>
    <row r="110" spans="1:20" ht="45" x14ac:dyDescent="0.25">
      <c r="B110" s="14" t="s">
        <v>993</v>
      </c>
      <c r="D110" s="165" t="s">
        <v>1022</v>
      </c>
    </row>
    <row r="111" spans="1:20" x14ac:dyDescent="0.25">
      <c r="A111" s="208">
        <v>2013</v>
      </c>
      <c r="B111" s="1181">
        <f>+P24+P76</f>
        <v>0.60675999999999997</v>
      </c>
      <c r="D111" s="230">
        <f>+B111*$F$108</f>
        <v>15.168999999999999</v>
      </c>
    </row>
    <row r="112" spans="1:20" x14ac:dyDescent="0.25">
      <c r="A112" s="208">
        <v>2014</v>
      </c>
      <c r="B112" s="1181">
        <f t="shared" ref="B112:B135" si="30">+P25+P77</f>
        <v>0.93614399999999998</v>
      </c>
      <c r="D112" s="230">
        <f t="shared" ref="D112:D135" si="31">+B112*$F$108</f>
        <v>23.403600000000001</v>
      </c>
    </row>
    <row r="113" spans="1:6" x14ac:dyDescent="0.25">
      <c r="A113" s="208">
        <v>2015</v>
      </c>
      <c r="B113" s="1181">
        <f t="shared" si="30"/>
        <v>2.3544947500000002</v>
      </c>
      <c r="D113" s="230">
        <f t="shared" si="31"/>
        <v>58.862368750000002</v>
      </c>
    </row>
    <row r="114" spans="1:6" x14ac:dyDescent="0.25">
      <c r="A114" s="208">
        <v>2016</v>
      </c>
      <c r="B114" s="1181">
        <f t="shared" si="30"/>
        <v>4.1357687499999995</v>
      </c>
      <c r="D114" s="230">
        <f t="shared" si="31"/>
        <v>103.39421874999999</v>
      </c>
    </row>
    <row r="115" spans="1:6" x14ac:dyDescent="0.25">
      <c r="A115" s="208">
        <v>2017</v>
      </c>
      <c r="B115" s="1181">
        <f t="shared" si="30"/>
        <v>8.0474992499999995</v>
      </c>
      <c r="D115" s="230">
        <f t="shared" si="31"/>
        <v>201.18748124999999</v>
      </c>
    </row>
    <row r="116" spans="1:6" x14ac:dyDescent="0.25">
      <c r="A116" s="208">
        <v>2018</v>
      </c>
      <c r="B116" s="1181">
        <f t="shared" si="30"/>
        <v>9.6543297499999987</v>
      </c>
      <c r="D116" s="230">
        <f t="shared" si="31"/>
        <v>241.35824374999996</v>
      </c>
    </row>
    <row r="117" spans="1:6" x14ac:dyDescent="0.25">
      <c r="A117" s="208">
        <v>2019</v>
      </c>
      <c r="B117" s="1181">
        <f t="shared" si="30"/>
        <v>11.26116025</v>
      </c>
      <c r="D117" s="230">
        <f t="shared" si="31"/>
        <v>281.52900625000001</v>
      </c>
    </row>
    <row r="118" spans="1:6" x14ac:dyDescent="0.25">
      <c r="A118" s="208">
        <v>2020</v>
      </c>
      <c r="B118" s="1181">
        <f t="shared" si="30"/>
        <v>18.169260749999999</v>
      </c>
      <c r="D118" s="230">
        <f t="shared" si="31"/>
        <v>454.23151874999996</v>
      </c>
      <c r="E118" s="214">
        <f>SUM(D111:D118)</f>
        <v>1379.1354375000001</v>
      </c>
      <c r="F118" s="208" t="s">
        <v>197</v>
      </c>
    </row>
    <row r="119" spans="1:6" x14ac:dyDescent="0.25">
      <c r="A119" s="208">
        <v>2021</v>
      </c>
      <c r="B119" s="1181">
        <f t="shared" si="30"/>
        <v>20.873676750000001</v>
      </c>
      <c r="D119" s="230">
        <f t="shared" si="31"/>
        <v>521.84191874999999</v>
      </c>
    </row>
    <row r="120" spans="1:6" x14ac:dyDescent="0.25">
      <c r="A120" s="208">
        <v>2022</v>
      </c>
      <c r="B120" s="1181">
        <f t="shared" si="30"/>
        <v>23.578092750000003</v>
      </c>
      <c r="D120" s="230">
        <f t="shared" si="31"/>
        <v>589.45231875000013</v>
      </c>
    </row>
    <row r="121" spans="1:6" x14ac:dyDescent="0.25">
      <c r="A121" s="208">
        <v>2023</v>
      </c>
      <c r="B121" s="1181">
        <f t="shared" si="30"/>
        <v>26.282508750000002</v>
      </c>
      <c r="D121" s="230">
        <f t="shared" si="31"/>
        <v>657.06271875000004</v>
      </c>
    </row>
    <row r="122" spans="1:6" x14ac:dyDescent="0.25">
      <c r="A122" s="208">
        <v>2024</v>
      </c>
      <c r="B122" s="1181">
        <f t="shared" si="30"/>
        <v>26.282508750000002</v>
      </c>
      <c r="D122" s="230">
        <f t="shared" si="31"/>
        <v>657.06271875000004</v>
      </c>
    </row>
    <row r="123" spans="1:6" x14ac:dyDescent="0.25">
      <c r="A123" s="208">
        <v>2025</v>
      </c>
      <c r="B123" s="1181">
        <f t="shared" si="30"/>
        <v>26.282508750000002</v>
      </c>
      <c r="D123" s="230">
        <f t="shared" si="31"/>
        <v>657.06271875000004</v>
      </c>
    </row>
    <row r="124" spans="1:6" x14ac:dyDescent="0.25">
      <c r="A124" s="208">
        <v>2026</v>
      </c>
      <c r="B124" s="1181">
        <f t="shared" si="30"/>
        <v>26.282508750000002</v>
      </c>
      <c r="D124" s="230">
        <f t="shared" si="31"/>
        <v>657.06271875000004</v>
      </c>
    </row>
    <row r="125" spans="1:6" x14ac:dyDescent="0.25">
      <c r="A125" s="208">
        <v>2027</v>
      </c>
      <c r="B125" s="1181">
        <f t="shared" si="30"/>
        <v>26.282508750000002</v>
      </c>
      <c r="D125" s="230">
        <f t="shared" si="31"/>
        <v>657.06271875000004</v>
      </c>
    </row>
    <row r="126" spans="1:6" x14ac:dyDescent="0.25">
      <c r="A126" s="208">
        <v>2028</v>
      </c>
      <c r="B126" s="1181">
        <f t="shared" si="30"/>
        <v>25.67574875</v>
      </c>
      <c r="D126" s="230">
        <f t="shared" si="31"/>
        <v>641.89371875000006</v>
      </c>
    </row>
    <row r="127" spans="1:6" x14ac:dyDescent="0.25">
      <c r="A127" s="208">
        <v>2029</v>
      </c>
      <c r="B127" s="1181">
        <f t="shared" si="30"/>
        <v>25.346364749999999</v>
      </c>
      <c r="D127" s="230">
        <f t="shared" si="31"/>
        <v>633.65911874999995</v>
      </c>
    </row>
    <row r="128" spans="1:6" x14ac:dyDescent="0.25">
      <c r="A128" s="208">
        <v>2030</v>
      </c>
      <c r="B128" s="1181">
        <f t="shared" si="30"/>
        <v>23.928013999999997</v>
      </c>
      <c r="D128" s="230">
        <f t="shared" si="31"/>
        <v>598.20034999999996</v>
      </c>
    </row>
    <row r="129" spans="1:6" x14ac:dyDescent="0.25">
      <c r="A129" s="208">
        <v>2031</v>
      </c>
      <c r="B129" s="1181">
        <f t="shared" si="30"/>
        <v>22.146740000000001</v>
      </c>
      <c r="D129" s="230">
        <f t="shared" si="31"/>
        <v>553.66849999999999</v>
      </c>
    </row>
    <row r="130" spans="1:6" x14ac:dyDescent="0.25">
      <c r="A130" s="208">
        <v>2032</v>
      </c>
      <c r="B130" s="1181">
        <f t="shared" si="30"/>
        <v>18.2350095</v>
      </c>
      <c r="D130" s="230">
        <f t="shared" si="31"/>
        <v>455.87523750000003</v>
      </c>
    </row>
    <row r="131" spans="1:6" x14ac:dyDescent="0.25">
      <c r="A131" s="208">
        <v>2033</v>
      </c>
      <c r="B131" s="1181">
        <f t="shared" si="30"/>
        <v>16.628178999999999</v>
      </c>
      <c r="D131" s="230">
        <f t="shared" si="31"/>
        <v>415.704475</v>
      </c>
    </row>
    <row r="132" spans="1:6" x14ac:dyDescent="0.25">
      <c r="A132" s="208">
        <v>2034</v>
      </c>
      <c r="B132" s="1181">
        <f t="shared" si="30"/>
        <v>15.021348499999998</v>
      </c>
      <c r="D132" s="230">
        <f t="shared" si="31"/>
        <v>375.53371249999998</v>
      </c>
    </row>
    <row r="133" spans="1:6" x14ac:dyDescent="0.25">
      <c r="A133" s="208">
        <v>2035</v>
      </c>
      <c r="B133" s="1181">
        <f t="shared" si="30"/>
        <v>8.1132480000000005</v>
      </c>
      <c r="D133" s="230">
        <f t="shared" si="31"/>
        <v>202.83120000000002</v>
      </c>
      <c r="E133" s="200">
        <f>SUM(D119:D133)</f>
        <v>8273.9741437499997</v>
      </c>
      <c r="F133" s="208" t="s">
        <v>47</v>
      </c>
    </row>
    <row r="134" spans="1:6" x14ac:dyDescent="0.25">
      <c r="A134" s="208">
        <v>2036</v>
      </c>
      <c r="B134" s="1181">
        <f t="shared" si="30"/>
        <v>5.4088320000000003</v>
      </c>
      <c r="D134" s="230">
        <f t="shared" si="31"/>
        <v>135.2208</v>
      </c>
    </row>
    <row r="135" spans="1:6" x14ac:dyDescent="0.25">
      <c r="A135" s="208">
        <v>2037</v>
      </c>
      <c r="B135" s="1181">
        <f t="shared" si="30"/>
        <v>2.7044160000000002</v>
      </c>
      <c r="D135" s="230">
        <f t="shared" si="31"/>
        <v>67.610399999999998</v>
      </c>
    </row>
    <row r="136" spans="1:6" x14ac:dyDescent="0.25">
      <c r="A136" s="125"/>
      <c r="B136" s="125"/>
      <c r="C136" s="125"/>
    </row>
    <row r="137" spans="1:6" x14ac:dyDescent="0.25">
      <c r="A137" s="1182"/>
      <c r="B137" s="125"/>
      <c r="C137" s="125"/>
      <c r="D137" s="217">
        <f>SUM(D111:D135)</f>
        <v>9855.9407812500031</v>
      </c>
    </row>
    <row r="138" spans="1:6" x14ac:dyDescent="0.25">
      <c r="A138" s="125"/>
      <c r="B138" s="125"/>
      <c r="C138" s="125"/>
    </row>
  </sheetData>
  <mergeCells count="2">
    <mergeCell ref="A20:C20"/>
    <mergeCell ref="A72:C72"/>
  </mergeCells>
  <pageMargins left="0.7" right="0.7" top="0.75" bottom="0.75" header="0.3" footer="0.3"/>
  <pageSetup paperSize="9" orientation="portrait" horizontalDpi="4294967293" vertic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1"/>
  <sheetViews>
    <sheetView zoomScale="80" zoomScaleNormal="80" workbookViewId="0">
      <selection activeCell="L126" sqref="L126"/>
    </sheetView>
  </sheetViews>
  <sheetFormatPr defaultColWidth="9.140625" defaultRowHeight="15" x14ac:dyDescent="0.25"/>
  <cols>
    <col min="1" max="1" width="13.42578125" style="65" customWidth="1"/>
    <col min="2" max="2" width="14.85546875" style="65" customWidth="1"/>
    <col min="3" max="3" width="25.28515625" style="65" customWidth="1"/>
    <col min="4" max="4" width="11.85546875" style="65" customWidth="1"/>
    <col min="5" max="5" width="12.85546875" style="65" customWidth="1"/>
    <col min="6" max="6" width="11.42578125" style="65" customWidth="1"/>
    <col min="7" max="7" width="11.85546875" style="65" customWidth="1"/>
    <col min="8" max="8" width="13.5703125" style="65" customWidth="1"/>
    <col min="9" max="9" width="15.140625" style="65" customWidth="1"/>
    <col min="10" max="10" width="9.140625" style="65"/>
    <col min="11" max="11" width="11.140625" style="65" customWidth="1"/>
    <col min="12" max="12" width="12.5703125" style="65" bestFit="1" customWidth="1"/>
    <col min="13" max="13" width="11.42578125" style="65" customWidth="1"/>
    <col min="14" max="14" width="12.7109375" style="65" customWidth="1"/>
    <col min="15" max="16384" width="9.140625" style="65"/>
  </cols>
  <sheetData>
    <row r="1" spans="1:14" ht="21" x14ac:dyDescent="0.35">
      <c r="A1" s="196" t="s">
        <v>526</v>
      </c>
      <c r="B1" s="197"/>
      <c r="C1" s="197"/>
      <c r="D1" s="197"/>
      <c r="E1" s="197"/>
      <c r="F1" s="197"/>
      <c r="G1" s="197"/>
      <c r="H1" s="197"/>
      <c r="I1" s="197"/>
      <c r="J1" s="197"/>
      <c r="K1" s="197"/>
      <c r="L1" s="197"/>
      <c r="M1" s="197"/>
      <c r="N1" s="197"/>
    </row>
    <row r="2" spans="1:14" s="83" customFormat="1" ht="14.1" customHeight="1" x14ac:dyDescent="0.35">
      <c r="A2" s="1126"/>
      <c r="B2" s="1127"/>
      <c r="C2" s="1127"/>
      <c r="D2" s="1127"/>
      <c r="E2" s="1127"/>
      <c r="F2" s="1127"/>
      <c r="G2" s="1127"/>
      <c r="H2" s="1127"/>
      <c r="I2" s="1127"/>
      <c r="J2" s="1127"/>
      <c r="K2" s="1127"/>
      <c r="L2" s="1127"/>
      <c r="M2" s="1127"/>
      <c r="N2" s="1127"/>
    </row>
    <row r="3" spans="1:14" x14ac:dyDescent="0.25">
      <c r="A3" s="65" t="s">
        <v>951</v>
      </c>
    </row>
    <row r="4" spans="1:14" x14ac:dyDescent="0.25">
      <c r="G4" s="1110"/>
      <c r="H4" s="1110"/>
      <c r="I4" s="1110"/>
      <c r="J4" s="1110"/>
    </row>
    <row r="5" spans="1:14" x14ac:dyDescent="0.25">
      <c r="G5" s="136" t="s">
        <v>888</v>
      </c>
      <c r="H5" s="136">
        <v>2012</v>
      </c>
      <c r="I5" s="136">
        <v>2013</v>
      </c>
      <c r="J5" s="136">
        <v>2014</v>
      </c>
      <c r="K5" s="136">
        <v>2015</v>
      </c>
    </row>
    <row r="6" spans="1:14" x14ac:dyDescent="0.25">
      <c r="G6" s="136" t="s">
        <v>11</v>
      </c>
      <c r="H6" s="136"/>
      <c r="I6" s="136">
        <v>745</v>
      </c>
      <c r="J6" s="136">
        <v>1048</v>
      </c>
      <c r="K6" s="136">
        <v>1515</v>
      </c>
    </row>
    <row r="7" spans="1:14" x14ac:dyDescent="0.25">
      <c r="G7" s="136" t="s">
        <v>886</v>
      </c>
      <c r="H7" s="136">
        <v>54</v>
      </c>
      <c r="I7" s="136">
        <v>68</v>
      </c>
      <c r="J7" s="136">
        <v>93</v>
      </c>
      <c r="K7" s="136">
        <v>175</v>
      </c>
    </row>
    <row r="8" spans="1:14" x14ac:dyDescent="0.25">
      <c r="G8" s="162" t="s">
        <v>889</v>
      </c>
      <c r="H8" s="136"/>
      <c r="I8" s="136"/>
      <c r="J8" s="136"/>
      <c r="K8" s="1183">
        <f>+K7/K6</f>
        <v>0.11551155115511551</v>
      </c>
    </row>
    <row r="9" spans="1:14" x14ac:dyDescent="0.25">
      <c r="G9" s="136" t="s">
        <v>884</v>
      </c>
      <c r="H9" s="136"/>
      <c r="I9" s="136">
        <v>0.48699999999999999</v>
      </c>
      <c r="J9" s="136">
        <v>0.78500000000000003</v>
      </c>
      <c r="K9" s="136">
        <v>1.1220000000000001</v>
      </c>
    </row>
    <row r="10" spans="1:14" x14ac:dyDescent="0.25">
      <c r="G10" s="136" t="s">
        <v>177</v>
      </c>
      <c r="H10" s="136"/>
      <c r="I10" s="229">
        <f>+I9*3.6</f>
        <v>1.7532000000000001</v>
      </c>
      <c r="J10" s="213">
        <f>+J9*3.6</f>
        <v>2.8260000000000001</v>
      </c>
      <c r="K10" s="229">
        <f>+K9*3.6</f>
        <v>4.0392000000000001</v>
      </c>
    </row>
    <row r="11" spans="1:14" x14ac:dyDescent="0.25">
      <c r="G11" s="136" t="s">
        <v>903</v>
      </c>
      <c r="H11" s="136"/>
      <c r="I11" s="229">
        <f>+I10*(1-I7/I6)</f>
        <v>1.5931763758389261</v>
      </c>
      <c r="J11" s="229">
        <f>+J10*(1-J7/J6)</f>
        <v>2.5752194656488552</v>
      </c>
      <c r="K11" s="229">
        <f>+K10*(1-K7/K6)</f>
        <v>3.5726257425742576</v>
      </c>
    </row>
    <row r="13" spans="1:14" x14ac:dyDescent="0.25">
      <c r="G13" s="13" t="s">
        <v>885</v>
      </c>
    </row>
    <row r="14" spans="1:14" x14ac:dyDescent="0.25">
      <c r="G14" s="13" t="s">
        <v>887</v>
      </c>
    </row>
    <row r="15" spans="1:14" x14ac:dyDescent="0.25">
      <c r="G15" s="65" t="s">
        <v>893</v>
      </c>
    </row>
    <row r="16" spans="1:14" x14ac:dyDescent="0.25">
      <c r="G16" s="1110"/>
    </row>
    <row r="28" spans="1:9" x14ac:dyDescent="0.25">
      <c r="A28" s="65" t="s">
        <v>149</v>
      </c>
    </row>
    <row r="30" spans="1:9" x14ac:dyDescent="0.25">
      <c r="A30" s="65" t="s">
        <v>1023</v>
      </c>
      <c r="F30" s="65">
        <f>+K6-K7</f>
        <v>1340</v>
      </c>
      <c r="G30" s="65" t="s">
        <v>730</v>
      </c>
      <c r="H30" s="223">
        <f>+F30*F37/10^6*3.6</f>
        <v>3.6179999999999999</v>
      </c>
      <c r="I30" s="65" t="s">
        <v>177</v>
      </c>
    </row>
    <row r="31" spans="1:9" x14ac:dyDescent="0.25">
      <c r="A31" s="65" t="s">
        <v>1024</v>
      </c>
      <c r="F31" s="65">
        <f>+K7</f>
        <v>175</v>
      </c>
      <c r="G31" s="65" t="s">
        <v>11</v>
      </c>
    </row>
    <row r="32" spans="1:9" x14ac:dyDescent="0.25">
      <c r="A32" s="65" t="s">
        <v>734</v>
      </c>
      <c r="F32" s="205">
        <f>+Uitgangspunten!B21</f>
        <v>3500</v>
      </c>
      <c r="G32" s="65" t="s">
        <v>730</v>
      </c>
      <c r="H32" s="65">
        <f>+F32*F36/10^6*3.6</f>
        <v>12.6</v>
      </c>
      <c r="I32" s="65" t="s">
        <v>177</v>
      </c>
    </row>
    <row r="33" spans="1:14" x14ac:dyDescent="0.25">
      <c r="A33" s="65" t="s">
        <v>246</v>
      </c>
      <c r="F33" s="220">
        <f>+Uitgangspunten!B22</f>
        <v>0.15</v>
      </c>
    </row>
    <row r="34" spans="1:14" x14ac:dyDescent="0.25">
      <c r="A34" s="65" t="s">
        <v>890</v>
      </c>
      <c r="F34" s="65">
        <f>IF((F32*(100%-F33)-F30)&lt;0,0,F32*(100%-F33)-F30)</f>
        <v>1635</v>
      </c>
      <c r="G34" s="65" t="s">
        <v>730</v>
      </c>
      <c r="H34" s="223">
        <f>+F34*F36/10^6*3.6</f>
        <v>5.8860000000000001</v>
      </c>
      <c r="I34" s="65" t="s">
        <v>177</v>
      </c>
    </row>
    <row r="35" spans="1:14" x14ac:dyDescent="0.25">
      <c r="A35" s="65" t="s">
        <v>891</v>
      </c>
      <c r="F35" s="65">
        <f>IF((F32*F33-F31)&lt;0,0,F32*F33-F31)</f>
        <v>350</v>
      </c>
      <c r="G35" s="65" t="s">
        <v>11</v>
      </c>
    </row>
    <row r="36" spans="1:14" x14ac:dyDescent="0.25">
      <c r="A36" s="65" t="s">
        <v>897</v>
      </c>
      <c r="F36" s="65">
        <v>1000</v>
      </c>
      <c r="G36" s="65" t="s">
        <v>928</v>
      </c>
    </row>
    <row r="37" spans="1:14" x14ac:dyDescent="0.25">
      <c r="A37" s="65" t="s">
        <v>953</v>
      </c>
      <c r="F37" s="65">
        <v>750</v>
      </c>
      <c r="G37" s="65" t="s">
        <v>898</v>
      </c>
    </row>
    <row r="39" spans="1:14" x14ac:dyDescent="0.25">
      <c r="A39" s="136" t="s">
        <v>888</v>
      </c>
      <c r="B39" s="136">
        <v>2012</v>
      </c>
      <c r="C39" s="136">
        <v>2013</v>
      </c>
      <c r="D39" s="136">
        <v>2014</v>
      </c>
      <c r="E39" s="136">
        <v>2015</v>
      </c>
    </row>
    <row r="40" spans="1:14" ht="60" x14ac:dyDescent="0.25">
      <c r="A40" s="165" t="s">
        <v>901</v>
      </c>
      <c r="B40" s="136"/>
      <c r="C40" s="136">
        <f>+I6*$F$36/10^6</f>
        <v>0.745</v>
      </c>
      <c r="D40" s="136">
        <f>+J6*$F$36/10^6</f>
        <v>1.048</v>
      </c>
      <c r="E40" s="136">
        <f>+K6*$F$36/10^6</f>
        <v>1.5149999999999999</v>
      </c>
      <c r="F40" s="65" t="s">
        <v>892</v>
      </c>
    </row>
    <row r="41" spans="1:14" x14ac:dyDescent="0.25">
      <c r="A41" s="65" t="s">
        <v>952</v>
      </c>
    </row>
    <row r="42" spans="1:14" x14ac:dyDescent="0.25">
      <c r="A42" s="1110"/>
      <c r="B42" s="1110"/>
      <c r="C42" s="1110"/>
      <c r="D42" s="1110"/>
      <c r="E42" s="1110"/>
      <c r="F42" s="1110"/>
      <c r="G42" s="1110"/>
    </row>
    <row r="43" spans="1:14" s="83" customFormat="1" x14ac:dyDescent="0.25">
      <c r="A43" s="215" t="s">
        <v>902</v>
      </c>
      <c r="B43" s="956"/>
      <c r="C43" s="956"/>
      <c r="D43" s="956"/>
      <c r="E43" s="956"/>
      <c r="F43" s="956"/>
      <c r="G43" s="956"/>
      <c r="H43" s="956"/>
      <c r="I43" s="956"/>
      <c r="J43" s="956"/>
      <c r="K43" s="956"/>
      <c r="L43" s="956"/>
      <c r="M43" s="956"/>
      <c r="N43" s="956"/>
    </row>
    <row r="44" spans="1:14" s="83" customFormat="1" x14ac:dyDescent="0.25">
      <c r="A44" s="372"/>
    </row>
    <row r="45" spans="1:14" x14ac:dyDescent="0.25">
      <c r="A45" s="136" t="s">
        <v>888</v>
      </c>
      <c r="B45" s="136"/>
      <c r="C45" s="136">
        <v>2013</v>
      </c>
      <c r="D45" s="136" t="s">
        <v>924</v>
      </c>
      <c r="E45" s="136" t="s">
        <v>925</v>
      </c>
    </row>
    <row r="46" spans="1:14" x14ac:dyDescent="0.25">
      <c r="A46" s="136" t="s">
        <v>894</v>
      </c>
      <c r="C46" s="1785">
        <v>0.1</v>
      </c>
      <c r="D46" s="1786"/>
      <c r="E46" s="1787"/>
    </row>
    <row r="48" spans="1:14" x14ac:dyDescent="0.25">
      <c r="A48" s="65" t="s">
        <v>168</v>
      </c>
    </row>
    <row r="49" spans="1:15" x14ac:dyDescent="0.25">
      <c r="A49" s="65" t="s">
        <v>247</v>
      </c>
    </row>
    <row r="51" spans="1:15" x14ac:dyDescent="0.25">
      <c r="A51" s="65" t="s">
        <v>1025</v>
      </c>
      <c r="F51" s="221">
        <f>+F35/5</f>
        <v>70</v>
      </c>
      <c r="G51" s="65" t="s">
        <v>11</v>
      </c>
    </row>
    <row r="52" spans="1:15" x14ac:dyDescent="0.25">
      <c r="A52" s="65" t="s">
        <v>150</v>
      </c>
      <c r="F52" s="205">
        <f>+Uitgangspunten!B19-Uitgangspunten!B20</f>
        <v>6.7000000000000004E-2</v>
      </c>
      <c r="G52" s="65" t="s">
        <v>275</v>
      </c>
      <c r="I52" s="1296"/>
    </row>
    <row r="54" spans="1:15" x14ac:dyDescent="0.25">
      <c r="A54" s="65" t="s">
        <v>9</v>
      </c>
      <c r="F54" s="209">
        <v>15</v>
      </c>
      <c r="G54" s="65" t="s">
        <v>14</v>
      </c>
    </row>
    <row r="55" spans="1:15" x14ac:dyDescent="0.25">
      <c r="A55" s="1110"/>
    </row>
    <row r="56" spans="1:15" ht="51" customHeight="1" x14ac:dyDescent="0.25">
      <c r="A56" s="1784" t="str">
        <f>+Uitgangspunten!A51</f>
        <v>Niet vergoede curtailment waterkracht, wind en grootschalig PV. Dit is beschikbare energie die niet benut kan worden omdat ze opgewekt wordt op een moment dat er geen vraag naar is.</v>
      </c>
      <c r="B56" s="1784"/>
      <c r="C56" s="1784"/>
      <c r="D56" s="1784"/>
      <c r="F56" s="826">
        <f>+Uitgangspunten!B51</f>
        <v>1.4999999999999999E-2</v>
      </c>
    </row>
    <row r="57" spans="1:15" x14ac:dyDescent="0.25">
      <c r="A57" s="1110"/>
    </row>
    <row r="58" spans="1:15" x14ac:dyDescent="0.25">
      <c r="A58" s="208" t="s">
        <v>731</v>
      </c>
    </row>
    <row r="59" spans="1:15" ht="45" x14ac:dyDescent="0.25">
      <c r="B59" s="208" t="s">
        <v>20</v>
      </c>
      <c r="C59" s="208"/>
      <c r="D59" s="208"/>
      <c r="E59" s="1164" t="s">
        <v>694</v>
      </c>
      <c r="K59" s="1164" t="s">
        <v>694</v>
      </c>
      <c r="L59" s="167" t="s">
        <v>13</v>
      </c>
      <c r="M59" s="171" t="s">
        <v>352</v>
      </c>
      <c r="N59" s="167" t="s">
        <v>183</v>
      </c>
      <c r="O59" s="167" t="s">
        <v>274</v>
      </c>
    </row>
    <row r="60" spans="1:15" x14ac:dyDescent="0.25">
      <c r="B60" s="65" t="s">
        <v>880</v>
      </c>
      <c r="C60" s="65" t="s">
        <v>881</v>
      </c>
      <c r="D60" s="65" t="s">
        <v>882</v>
      </c>
      <c r="E60" s="1117"/>
      <c r="F60" s="65" t="s">
        <v>895</v>
      </c>
      <c r="K60" s="1117"/>
      <c r="L60" s="167"/>
      <c r="M60" s="136"/>
      <c r="N60" s="167"/>
      <c r="O60" s="167"/>
    </row>
    <row r="61" spans="1:15" x14ac:dyDescent="0.25">
      <c r="A61" s="208">
        <v>2013</v>
      </c>
      <c r="B61" s="65">
        <f>+I$7-H$7</f>
        <v>14</v>
      </c>
      <c r="C61" s="65">
        <v>0</v>
      </c>
      <c r="D61" s="65">
        <v>0</v>
      </c>
      <c r="E61" s="1184">
        <f t="shared" ref="E61:E83" si="0">+SUM(B61:D61)*F$36*C$46/10^3</f>
        <v>1.4</v>
      </c>
      <c r="F61" s="65">
        <v>0</v>
      </c>
      <c r="G61" s="65">
        <v>0</v>
      </c>
      <c r="H61" s="65">
        <v>0</v>
      </c>
      <c r="I61" s="65">
        <v>0</v>
      </c>
      <c r="J61" s="65">
        <v>0</v>
      </c>
      <c r="K61" s="1185">
        <f t="shared" ref="K61:K83" si="1">+SUM(F61:J61)*F$36*F$52/10^3</f>
        <v>0</v>
      </c>
      <c r="L61" s="212">
        <f>SUM(B61:D61)+SUM(F61:J61)</f>
        <v>14</v>
      </c>
      <c r="M61" s="213">
        <f t="shared" ref="M61:M83" si="2">+L61*F$37*(100%-F$56)/10^6</f>
        <v>1.0342499999999999E-2</v>
      </c>
      <c r="N61" s="222">
        <f t="shared" ref="N61:N83" si="3">+L61*$F$36/10^6</f>
        <v>1.4E-2</v>
      </c>
      <c r="O61" s="198">
        <f>+E61+K61</f>
        <v>1.4</v>
      </c>
    </row>
    <row r="62" spans="1:15" x14ac:dyDescent="0.25">
      <c r="A62" s="208">
        <v>2014</v>
      </c>
      <c r="B62" s="65">
        <f t="shared" ref="B62:B75" si="4">+I$7-H$7</f>
        <v>14</v>
      </c>
      <c r="C62" s="65">
        <f>+J$7-I$7</f>
        <v>25</v>
      </c>
      <c r="D62" s="65">
        <v>0</v>
      </c>
      <c r="E62" s="1184">
        <f t="shared" si="0"/>
        <v>3.9</v>
      </c>
      <c r="F62" s="65">
        <v>0</v>
      </c>
      <c r="G62" s="65">
        <v>0</v>
      </c>
      <c r="H62" s="65">
        <v>0</v>
      </c>
      <c r="I62" s="65">
        <v>0</v>
      </c>
      <c r="J62" s="65">
        <v>0</v>
      </c>
      <c r="K62" s="1185">
        <f t="shared" si="1"/>
        <v>0</v>
      </c>
      <c r="L62" s="212">
        <f>SUM(B62:D62)+SUM(F62:J62)</f>
        <v>39</v>
      </c>
      <c r="M62" s="213">
        <f t="shared" si="2"/>
        <v>2.881125E-2</v>
      </c>
      <c r="N62" s="222">
        <f t="shared" si="3"/>
        <v>3.9E-2</v>
      </c>
      <c r="O62" s="198">
        <f t="shared" ref="O62:O82" si="5">+E62+K62</f>
        <v>3.9</v>
      </c>
    </row>
    <row r="63" spans="1:15" x14ac:dyDescent="0.25">
      <c r="A63" s="208">
        <v>2015</v>
      </c>
      <c r="B63" s="65">
        <f t="shared" si="4"/>
        <v>14</v>
      </c>
      <c r="C63" s="65">
        <f t="shared" ref="C63:C76" si="6">+J$7-I$7</f>
        <v>25</v>
      </c>
      <c r="D63" s="65">
        <f>+K$7-J$7</f>
        <v>82</v>
      </c>
      <c r="E63" s="1184">
        <f t="shared" si="0"/>
        <v>12.1</v>
      </c>
      <c r="F63" s="65">
        <v>0</v>
      </c>
      <c r="G63" s="65">
        <v>0</v>
      </c>
      <c r="H63" s="65">
        <v>0</v>
      </c>
      <c r="I63" s="65">
        <v>0</v>
      </c>
      <c r="J63" s="65">
        <v>0</v>
      </c>
      <c r="K63" s="1185">
        <f t="shared" si="1"/>
        <v>0</v>
      </c>
      <c r="L63" s="212">
        <f t="shared" ref="L63:L83" si="7">SUM(B63:D63)+SUM(F63:J63)</f>
        <v>121</v>
      </c>
      <c r="M63" s="213">
        <f t="shared" si="2"/>
        <v>8.9388750000000003E-2</v>
      </c>
      <c r="N63" s="222">
        <f t="shared" si="3"/>
        <v>0.121</v>
      </c>
      <c r="O63" s="198">
        <f t="shared" si="5"/>
        <v>12.1</v>
      </c>
    </row>
    <row r="64" spans="1:15" x14ac:dyDescent="0.25">
      <c r="A64" s="208">
        <v>2016</v>
      </c>
      <c r="B64" s="65">
        <f t="shared" si="4"/>
        <v>14</v>
      </c>
      <c r="C64" s="65">
        <f t="shared" si="6"/>
        <v>25</v>
      </c>
      <c r="D64" s="65">
        <f t="shared" ref="D64:D77" si="8">+K$7-J$7</f>
        <v>82</v>
      </c>
      <c r="E64" s="1184">
        <f t="shared" si="0"/>
        <v>12.1</v>
      </c>
      <c r="F64" s="211">
        <f t="shared" ref="F64:F78" si="9">+$F$51</f>
        <v>70</v>
      </c>
      <c r="G64" s="65">
        <v>0</v>
      </c>
      <c r="H64" s="65">
        <v>0</v>
      </c>
      <c r="I64" s="65">
        <v>0</v>
      </c>
      <c r="J64" s="65">
        <v>0</v>
      </c>
      <c r="K64" s="1185">
        <f t="shared" si="1"/>
        <v>4.6900000000000004</v>
      </c>
      <c r="L64" s="212">
        <f t="shared" si="7"/>
        <v>191</v>
      </c>
      <c r="M64" s="213">
        <f>+L64*F$37*(100%-F$56)/10^6</f>
        <v>0.14110125000000001</v>
      </c>
      <c r="N64" s="222">
        <f t="shared" si="3"/>
        <v>0.191</v>
      </c>
      <c r="O64" s="198">
        <f t="shared" si="5"/>
        <v>16.79</v>
      </c>
    </row>
    <row r="65" spans="1:17" x14ac:dyDescent="0.25">
      <c r="A65" s="208">
        <v>2017</v>
      </c>
      <c r="B65" s="65">
        <f t="shared" si="4"/>
        <v>14</v>
      </c>
      <c r="C65" s="65">
        <f t="shared" si="6"/>
        <v>25</v>
      </c>
      <c r="D65" s="65">
        <f t="shared" si="8"/>
        <v>82</v>
      </c>
      <c r="E65" s="1184">
        <f t="shared" si="0"/>
        <v>12.1</v>
      </c>
      <c r="F65" s="211">
        <f t="shared" si="9"/>
        <v>70</v>
      </c>
      <c r="G65" s="211">
        <f t="shared" ref="G65:G78" si="10">+$F$51</f>
        <v>70</v>
      </c>
      <c r="H65" s="65">
        <v>0</v>
      </c>
      <c r="I65" s="65">
        <v>0</v>
      </c>
      <c r="J65" s="65">
        <v>0</v>
      </c>
      <c r="K65" s="1185">
        <f t="shared" si="1"/>
        <v>9.3800000000000008</v>
      </c>
      <c r="L65" s="212">
        <f t="shared" si="7"/>
        <v>261</v>
      </c>
      <c r="M65" s="213">
        <f t="shared" si="2"/>
        <v>0.19281375000000001</v>
      </c>
      <c r="N65" s="222">
        <f t="shared" si="3"/>
        <v>0.26100000000000001</v>
      </c>
      <c r="O65" s="198">
        <f t="shared" si="5"/>
        <v>21.48</v>
      </c>
    </row>
    <row r="66" spans="1:17" x14ac:dyDescent="0.25">
      <c r="A66" s="208">
        <v>2018</v>
      </c>
      <c r="B66" s="65">
        <f t="shared" si="4"/>
        <v>14</v>
      </c>
      <c r="C66" s="65">
        <f t="shared" si="6"/>
        <v>25</v>
      </c>
      <c r="D66" s="65">
        <f t="shared" si="8"/>
        <v>82</v>
      </c>
      <c r="E66" s="1184">
        <f t="shared" si="0"/>
        <v>12.1</v>
      </c>
      <c r="F66" s="211">
        <f t="shared" si="9"/>
        <v>70</v>
      </c>
      <c r="G66" s="211">
        <f t="shared" si="10"/>
        <v>70</v>
      </c>
      <c r="H66" s="211">
        <f t="shared" ref="H66:H78" si="11">+$F$51</f>
        <v>70</v>
      </c>
      <c r="I66" s="65">
        <v>0</v>
      </c>
      <c r="J66" s="65">
        <v>0</v>
      </c>
      <c r="K66" s="1185">
        <f t="shared" si="1"/>
        <v>14.07</v>
      </c>
      <c r="L66" s="212">
        <f t="shared" si="7"/>
        <v>331</v>
      </c>
      <c r="M66" s="213">
        <f t="shared" si="2"/>
        <v>0.24452625</v>
      </c>
      <c r="N66" s="222">
        <f t="shared" si="3"/>
        <v>0.33100000000000002</v>
      </c>
      <c r="O66" s="198">
        <f t="shared" si="5"/>
        <v>26.17</v>
      </c>
    </row>
    <row r="67" spans="1:17" x14ac:dyDescent="0.25">
      <c r="A67" s="208">
        <v>2019</v>
      </c>
      <c r="B67" s="65">
        <f t="shared" si="4"/>
        <v>14</v>
      </c>
      <c r="C67" s="65">
        <f t="shared" si="6"/>
        <v>25</v>
      </c>
      <c r="D67" s="65">
        <f t="shared" si="8"/>
        <v>82</v>
      </c>
      <c r="E67" s="1184">
        <f t="shared" si="0"/>
        <v>12.1</v>
      </c>
      <c r="F67" s="211">
        <f t="shared" si="9"/>
        <v>70</v>
      </c>
      <c r="G67" s="211">
        <f t="shared" si="10"/>
        <v>70</v>
      </c>
      <c r="H67" s="211">
        <f t="shared" si="11"/>
        <v>70</v>
      </c>
      <c r="I67" s="211">
        <f t="shared" ref="I67:I78" si="12">+$F$51</f>
        <v>70</v>
      </c>
      <c r="J67" s="65">
        <v>0</v>
      </c>
      <c r="K67" s="1185">
        <f t="shared" si="1"/>
        <v>18.760000000000002</v>
      </c>
      <c r="L67" s="212">
        <f t="shared" si="7"/>
        <v>401</v>
      </c>
      <c r="M67" s="213">
        <f t="shared" si="2"/>
        <v>0.29623875</v>
      </c>
      <c r="N67" s="222">
        <f t="shared" si="3"/>
        <v>0.40100000000000002</v>
      </c>
      <c r="O67" s="198">
        <f t="shared" si="5"/>
        <v>30.86</v>
      </c>
    </row>
    <row r="68" spans="1:17" x14ac:dyDescent="0.25">
      <c r="A68" s="208">
        <v>2020</v>
      </c>
      <c r="B68" s="65">
        <f t="shared" si="4"/>
        <v>14</v>
      </c>
      <c r="C68" s="65">
        <f t="shared" si="6"/>
        <v>25</v>
      </c>
      <c r="D68" s="65">
        <f t="shared" si="8"/>
        <v>82</v>
      </c>
      <c r="E68" s="1184">
        <f t="shared" si="0"/>
        <v>12.1</v>
      </c>
      <c r="F68" s="211">
        <f t="shared" si="9"/>
        <v>70</v>
      </c>
      <c r="G68" s="211">
        <f t="shared" si="10"/>
        <v>70</v>
      </c>
      <c r="H68" s="211">
        <f t="shared" si="11"/>
        <v>70</v>
      </c>
      <c r="I68" s="211">
        <f t="shared" si="12"/>
        <v>70</v>
      </c>
      <c r="J68" s="211">
        <f t="shared" ref="J68:J78" si="13">+$F$51</f>
        <v>70</v>
      </c>
      <c r="K68" s="1185">
        <f t="shared" si="1"/>
        <v>23.45</v>
      </c>
      <c r="L68" s="212">
        <f t="shared" si="7"/>
        <v>471</v>
      </c>
      <c r="M68" s="213">
        <f t="shared" si="2"/>
        <v>0.34795124999999999</v>
      </c>
      <c r="N68" s="222">
        <f t="shared" si="3"/>
        <v>0.47099999999999997</v>
      </c>
      <c r="O68" s="198">
        <f t="shared" si="5"/>
        <v>35.549999999999997</v>
      </c>
      <c r="P68" s="214">
        <f>SUM(O62:O68)</f>
        <v>146.85</v>
      </c>
      <c r="Q68" s="208" t="s">
        <v>46</v>
      </c>
    </row>
    <row r="69" spans="1:17" x14ac:dyDescent="0.25">
      <c r="A69" s="208">
        <v>2021</v>
      </c>
      <c r="B69" s="65">
        <f t="shared" si="4"/>
        <v>14</v>
      </c>
      <c r="C69" s="65">
        <f t="shared" si="6"/>
        <v>25</v>
      </c>
      <c r="D69" s="65">
        <f t="shared" si="8"/>
        <v>82</v>
      </c>
      <c r="E69" s="1184">
        <f t="shared" si="0"/>
        <v>12.1</v>
      </c>
      <c r="F69" s="211">
        <f t="shared" si="9"/>
        <v>70</v>
      </c>
      <c r="G69" s="211">
        <f t="shared" si="10"/>
        <v>70</v>
      </c>
      <c r="H69" s="211">
        <f t="shared" si="11"/>
        <v>70</v>
      </c>
      <c r="I69" s="211">
        <f t="shared" si="12"/>
        <v>70</v>
      </c>
      <c r="J69" s="211">
        <f t="shared" si="13"/>
        <v>70</v>
      </c>
      <c r="K69" s="1185">
        <f t="shared" si="1"/>
        <v>23.45</v>
      </c>
      <c r="L69" s="212">
        <f t="shared" si="7"/>
        <v>471</v>
      </c>
      <c r="M69" s="213">
        <f t="shared" si="2"/>
        <v>0.34795124999999999</v>
      </c>
      <c r="N69" s="222">
        <f t="shared" si="3"/>
        <v>0.47099999999999997</v>
      </c>
      <c r="O69" s="198">
        <f t="shared" si="5"/>
        <v>35.549999999999997</v>
      </c>
    </row>
    <row r="70" spans="1:17" x14ac:dyDescent="0.25">
      <c r="A70" s="208">
        <v>2022</v>
      </c>
      <c r="B70" s="65">
        <f t="shared" si="4"/>
        <v>14</v>
      </c>
      <c r="C70" s="65">
        <f t="shared" si="6"/>
        <v>25</v>
      </c>
      <c r="D70" s="65">
        <f t="shared" si="8"/>
        <v>82</v>
      </c>
      <c r="E70" s="1184">
        <f t="shared" si="0"/>
        <v>12.1</v>
      </c>
      <c r="F70" s="211">
        <f t="shared" si="9"/>
        <v>70</v>
      </c>
      <c r="G70" s="211">
        <f t="shared" si="10"/>
        <v>70</v>
      </c>
      <c r="H70" s="211">
        <f t="shared" si="11"/>
        <v>70</v>
      </c>
      <c r="I70" s="211">
        <f t="shared" si="12"/>
        <v>70</v>
      </c>
      <c r="J70" s="211">
        <f t="shared" si="13"/>
        <v>70</v>
      </c>
      <c r="K70" s="1185">
        <f t="shared" si="1"/>
        <v>23.45</v>
      </c>
      <c r="L70" s="212">
        <f t="shared" si="7"/>
        <v>471</v>
      </c>
      <c r="M70" s="213">
        <f t="shared" si="2"/>
        <v>0.34795124999999999</v>
      </c>
      <c r="N70" s="222">
        <f t="shared" si="3"/>
        <v>0.47099999999999997</v>
      </c>
      <c r="O70" s="198">
        <f t="shared" si="5"/>
        <v>35.549999999999997</v>
      </c>
    </row>
    <row r="71" spans="1:17" x14ac:dyDescent="0.25">
      <c r="A71" s="208">
        <v>2023</v>
      </c>
      <c r="B71" s="65">
        <f t="shared" si="4"/>
        <v>14</v>
      </c>
      <c r="C71" s="65">
        <f t="shared" si="6"/>
        <v>25</v>
      </c>
      <c r="D71" s="65">
        <f t="shared" si="8"/>
        <v>82</v>
      </c>
      <c r="E71" s="1184">
        <f t="shared" si="0"/>
        <v>12.1</v>
      </c>
      <c r="F71" s="211">
        <f t="shared" si="9"/>
        <v>70</v>
      </c>
      <c r="G71" s="211">
        <f t="shared" si="10"/>
        <v>70</v>
      </c>
      <c r="H71" s="211">
        <f t="shared" si="11"/>
        <v>70</v>
      </c>
      <c r="I71" s="211">
        <f t="shared" si="12"/>
        <v>70</v>
      </c>
      <c r="J71" s="211">
        <f t="shared" si="13"/>
        <v>70</v>
      </c>
      <c r="K71" s="1185">
        <f t="shared" si="1"/>
        <v>23.45</v>
      </c>
      <c r="L71" s="212">
        <f t="shared" si="7"/>
        <v>471</v>
      </c>
      <c r="M71" s="213">
        <f t="shared" si="2"/>
        <v>0.34795124999999999</v>
      </c>
      <c r="N71" s="222">
        <f t="shared" si="3"/>
        <v>0.47099999999999997</v>
      </c>
      <c r="O71" s="198">
        <f t="shared" si="5"/>
        <v>35.549999999999997</v>
      </c>
    </row>
    <row r="72" spans="1:17" x14ac:dyDescent="0.25">
      <c r="A72" s="208">
        <v>2024</v>
      </c>
      <c r="B72" s="65">
        <f t="shared" si="4"/>
        <v>14</v>
      </c>
      <c r="C72" s="65">
        <f t="shared" si="6"/>
        <v>25</v>
      </c>
      <c r="D72" s="65">
        <f t="shared" si="8"/>
        <v>82</v>
      </c>
      <c r="E72" s="1184">
        <f t="shared" si="0"/>
        <v>12.1</v>
      </c>
      <c r="F72" s="211">
        <f t="shared" si="9"/>
        <v>70</v>
      </c>
      <c r="G72" s="211">
        <f t="shared" si="10"/>
        <v>70</v>
      </c>
      <c r="H72" s="211">
        <f t="shared" si="11"/>
        <v>70</v>
      </c>
      <c r="I72" s="211">
        <f t="shared" si="12"/>
        <v>70</v>
      </c>
      <c r="J72" s="211">
        <f t="shared" si="13"/>
        <v>70</v>
      </c>
      <c r="K72" s="1185">
        <f t="shared" si="1"/>
        <v>23.45</v>
      </c>
      <c r="L72" s="212">
        <f t="shared" si="7"/>
        <v>471</v>
      </c>
      <c r="M72" s="213">
        <f t="shared" si="2"/>
        <v>0.34795124999999999</v>
      </c>
      <c r="N72" s="222">
        <f t="shared" si="3"/>
        <v>0.47099999999999997</v>
      </c>
      <c r="O72" s="198">
        <f t="shared" si="5"/>
        <v>35.549999999999997</v>
      </c>
      <c r="P72" s="223"/>
    </row>
    <row r="73" spans="1:17" x14ac:dyDescent="0.25">
      <c r="A73" s="208">
        <v>2025</v>
      </c>
      <c r="B73" s="65">
        <f t="shared" si="4"/>
        <v>14</v>
      </c>
      <c r="C73" s="65">
        <f t="shared" si="6"/>
        <v>25</v>
      </c>
      <c r="D73" s="65">
        <f t="shared" si="8"/>
        <v>82</v>
      </c>
      <c r="E73" s="1184">
        <f t="shared" si="0"/>
        <v>12.1</v>
      </c>
      <c r="F73" s="211">
        <f t="shared" si="9"/>
        <v>70</v>
      </c>
      <c r="G73" s="211">
        <f t="shared" si="10"/>
        <v>70</v>
      </c>
      <c r="H73" s="211">
        <f t="shared" si="11"/>
        <v>70</v>
      </c>
      <c r="I73" s="211">
        <f t="shared" si="12"/>
        <v>70</v>
      </c>
      <c r="J73" s="211">
        <f t="shared" si="13"/>
        <v>70</v>
      </c>
      <c r="K73" s="1185">
        <f t="shared" si="1"/>
        <v>23.45</v>
      </c>
      <c r="L73" s="212">
        <f t="shared" si="7"/>
        <v>471</v>
      </c>
      <c r="M73" s="213">
        <f t="shared" si="2"/>
        <v>0.34795124999999999</v>
      </c>
      <c r="N73" s="222">
        <f t="shared" si="3"/>
        <v>0.47099999999999997</v>
      </c>
      <c r="O73" s="198">
        <f t="shared" si="5"/>
        <v>35.549999999999997</v>
      </c>
    </row>
    <row r="74" spans="1:17" x14ac:dyDescent="0.25">
      <c r="A74" s="208">
        <v>2026</v>
      </c>
      <c r="B74" s="65">
        <f t="shared" si="4"/>
        <v>14</v>
      </c>
      <c r="C74" s="65">
        <f t="shared" si="6"/>
        <v>25</v>
      </c>
      <c r="D74" s="65">
        <f t="shared" si="8"/>
        <v>82</v>
      </c>
      <c r="E74" s="1184">
        <f t="shared" si="0"/>
        <v>12.1</v>
      </c>
      <c r="F74" s="211">
        <f t="shared" si="9"/>
        <v>70</v>
      </c>
      <c r="G74" s="211">
        <f t="shared" si="10"/>
        <v>70</v>
      </c>
      <c r="H74" s="211">
        <f t="shared" si="11"/>
        <v>70</v>
      </c>
      <c r="I74" s="211">
        <f t="shared" si="12"/>
        <v>70</v>
      </c>
      <c r="J74" s="211">
        <f t="shared" si="13"/>
        <v>70</v>
      </c>
      <c r="K74" s="1185">
        <f t="shared" si="1"/>
        <v>23.45</v>
      </c>
      <c r="L74" s="212">
        <f t="shared" si="7"/>
        <v>471</v>
      </c>
      <c r="M74" s="213">
        <f t="shared" si="2"/>
        <v>0.34795124999999999</v>
      </c>
      <c r="N74" s="222">
        <f t="shared" si="3"/>
        <v>0.47099999999999997</v>
      </c>
      <c r="O74" s="198">
        <f t="shared" si="5"/>
        <v>35.549999999999997</v>
      </c>
    </row>
    <row r="75" spans="1:17" x14ac:dyDescent="0.25">
      <c r="A75" s="208">
        <v>2027</v>
      </c>
      <c r="B75" s="65">
        <f t="shared" si="4"/>
        <v>14</v>
      </c>
      <c r="C75" s="65">
        <f t="shared" si="6"/>
        <v>25</v>
      </c>
      <c r="D75" s="65">
        <f t="shared" si="8"/>
        <v>82</v>
      </c>
      <c r="E75" s="1184">
        <f t="shared" si="0"/>
        <v>12.1</v>
      </c>
      <c r="F75" s="211">
        <f t="shared" si="9"/>
        <v>70</v>
      </c>
      <c r="G75" s="211">
        <f t="shared" si="10"/>
        <v>70</v>
      </c>
      <c r="H75" s="211">
        <f t="shared" si="11"/>
        <v>70</v>
      </c>
      <c r="I75" s="211">
        <f t="shared" si="12"/>
        <v>70</v>
      </c>
      <c r="J75" s="211">
        <f t="shared" si="13"/>
        <v>70</v>
      </c>
      <c r="K75" s="1185">
        <f t="shared" si="1"/>
        <v>23.45</v>
      </c>
      <c r="L75" s="212">
        <f t="shared" si="7"/>
        <v>471</v>
      </c>
      <c r="M75" s="213">
        <f t="shared" si="2"/>
        <v>0.34795124999999999</v>
      </c>
      <c r="N75" s="222">
        <f t="shared" si="3"/>
        <v>0.47099999999999997</v>
      </c>
      <c r="O75" s="198">
        <f t="shared" si="5"/>
        <v>35.549999999999997</v>
      </c>
    </row>
    <row r="76" spans="1:17" x14ac:dyDescent="0.25">
      <c r="A76" s="208">
        <v>2028</v>
      </c>
      <c r="B76" s="65">
        <v>0</v>
      </c>
      <c r="C76" s="65">
        <f t="shared" si="6"/>
        <v>25</v>
      </c>
      <c r="D76" s="65">
        <f t="shared" si="8"/>
        <v>82</v>
      </c>
      <c r="E76" s="1184">
        <f t="shared" si="0"/>
        <v>10.7</v>
      </c>
      <c r="F76" s="211">
        <f t="shared" si="9"/>
        <v>70</v>
      </c>
      <c r="G76" s="211">
        <f t="shared" si="10"/>
        <v>70</v>
      </c>
      <c r="H76" s="211">
        <f t="shared" si="11"/>
        <v>70</v>
      </c>
      <c r="I76" s="211">
        <f t="shared" si="12"/>
        <v>70</v>
      </c>
      <c r="J76" s="211">
        <f t="shared" si="13"/>
        <v>70</v>
      </c>
      <c r="K76" s="1185">
        <f t="shared" si="1"/>
        <v>23.45</v>
      </c>
      <c r="L76" s="212">
        <f t="shared" si="7"/>
        <v>457</v>
      </c>
      <c r="M76" s="213">
        <f t="shared" si="2"/>
        <v>0.33760875000000001</v>
      </c>
      <c r="N76" s="222">
        <f t="shared" si="3"/>
        <v>0.45700000000000002</v>
      </c>
      <c r="O76" s="198">
        <f t="shared" si="5"/>
        <v>34.15</v>
      </c>
    </row>
    <row r="77" spans="1:17" x14ac:dyDescent="0.25">
      <c r="A77" s="208">
        <v>2029</v>
      </c>
      <c r="B77" s="65">
        <v>0</v>
      </c>
      <c r="C77" s="65">
        <v>0</v>
      </c>
      <c r="D77" s="65">
        <f t="shared" si="8"/>
        <v>82</v>
      </c>
      <c r="E77" s="1184">
        <f t="shared" si="0"/>
        <v>8.1999999999999993</v>
      </c>
      <c r="F77" s="211">
        <f t="shared" si="9"/>
        <v>70</v>
      </c>
      <c r="G77" s="211">
        <f t="shared" si="10"/>
        <v>70</v>
      </c>
      <c r="H77" s="211">
        <f t="shared" si="11"/>
        <v>70</v>
      </c>
      <c r="I77" s="211">
        <f t="shared" si="12"/>
        <v>70</v>
      </c>
      <c r="J77" s="211">
        <f t="shared" si="13"/>
        <v>70</v>
      </c>
      <c r="K77" s="1185">
        <f t="shared" si="1"/>
        <v>23.45</v>
      </c>
      <c r="L77" s="212">
        <f t="shared" si="7"/>
        <v>432</v>
      </c>
      <c r="M77" s="213">
        <f t="shared" si="2"/>
        <v>0.31913999999999998</v>
      </c>
      <c r="N77" s="222">
        <f t="shared" si="3"/>
        <v>0.432</v>
      </c>
      <c r="O77" s="198">
        <f t="shared" si="5"/>
        <v>31.65</v>
      </c>
    </row>
    <row r="78" spans="1:17" x14ac:dyDescent="0.25">
      <c r="A78" s="208">
        <v>2030</v>
      </c>
      <c r="B78" s="65">
        <v>0</v>
      </c>
      <c r="C78" s="65">
        <v>0</v>
      </c>
      <c r="D78" s="65">
        <v>0</v>
      </c>
      <c r="E78" s="1184">
        <f t="shared" si="0"/>
        <v>0</v>
      </c>
      <c r="F78" s="211">
        <f t="shared" si="9"/>
        <v>70</v>
      </c>
      <c r="G78" s="211">
        <f t="shared" si="10"/>
        <v>70</v>
      </c>
      <c r="H78" s="211">
        <f t="shared" si="11"/>
        <v>70</v>
      </c>
      <c r="I78" s="211">
        <f t="shared" si="12"/>
        <v>70</v>
      </c>
      <c r="J78" s="211">
        <f t="shared" si="13"/>
        <v>70</v>
      </c>
      <c r="K78" s="1185">
        <f t="shared" si="1"/>
        <v>23.45</v>
      </c>
      <c r="L78" s="212">
        <f t="shared" si="7"/>
        <v>350</v>
      </c>
      <c r="M78" s="213">
        <f t="shared" si="2"/>
        <v>0.25856249999999997</v>
      </c>
      <c r="N78" s="222">
        <f t="shared" si="3"/>
        <v>0.35</v>
      </c>
      <c r="O78" s="198">
        <f t="shared" si="5"/>
        <v>23.45</v>
      </c>
    </row>
    <row r="79" spans="1:17" x14ac:dyDescent="0.25">
      <c r="A79" s="208">
        <v>2031</v>
      </c>
      <c r="B79" s="65">
        <v>0</v>
      </c>
      <c r="C79" s="65">
        <v>0</v>
      </c>
      <c r="D79" s="65">
        <v>0</v>
      </c>
      <c r="E79" s="1184">
        <f t="shared" si="0"/>
        <v>0</v>
      </c>
      <c r="F79" s="65">
        <v>0</v>
      </c>
      <c r="G79" s="211">
        <f t="shared" ref="G79:J82" si="14">+$F$51</f>
        <v>70</v>
      </c>
      <c r="H79" s="211">
        <f t="shared" si="14"/>
        <v>70</v>
      </c>
      <c r="I79" s="211">
        <f t="shared" si="14"/>
        <v>70</v>
      </c>
      <c r="J79" s="211">
        <f t="shared" si="14"/>
        <v>70</v>
      </c>
      <c r="K79" s="1185">
        <f t="shared" si="1"/>
        <v>18.760000000000002</v>
      </c>
      <c r="L79" s="212">
        <f t="shared" si="7"/>
        <v>280</v>
      </c>
      <c r="M79" s="213">
        <f t="shared" si="2"/>
        <v>0.20685000000000001</v>
      </c>
      <c r="N79" s="222">
        <f t="shared" si="3"/>
        <v>0.28000000000000003</v>
      </c>
      <c r="O79" s="198">
        <f t="shared" si="5"/>
        <v>18.760000000000002</v>
      </c>
    </row>
    <row r="80" spans="1:17" x14ac:dyDescent="0.25">
      <c r="A80" s="208">
        <v>2032</v>
      </c>
      <c r="B80" s="65">
        <v>0</v>
      </c>
      <c r="C80" s="65">
        <v>0</v>
      </c>
      <c r="D80" s="65">
        <v>0</v>
      </c>
      <c r="E80" s="1184">
        <f t="shared" si="0"/>
        <v>0</v>
      </c>
      <c r="F80" s="65">
        <v>0</v>
      </c>
      <c r="G80" s="65">
        <v>0</v>
      </c>
      <c r="H80" s="211">
        <f t="shared" si="14"/>
        <v>70</v>
      </c>
      <c r="I80" s="211">
        <f t="shared" si="14"/>
        <v>70</v>
      </c>
      <c r="J80" s="211">
        <f t="shared" si="14"/>
        <v>70</v>
      </c>
      <c r="K80" s="1185">
        <f t="shared" si="1"/>
        <v>14.07</v>
      </c>
      <c r="L80" s="212">
        <f t="shared" si="7"/>
        <v>210</v>
      </c>
      <c r="M80" s="213">
        <f t="shared" si="2"/>
        <v>0.15513750000000001</v>
      </c>
      <c r="N80" s="222">
        <f t="shared" si="3"/>
        <v>0.21</v>
      </c>
      <c r="O80" s="198">
        <f t="shared" si="5"/>
        <v>14.07</v>
      </c>
    </row>
    <row r="81" spans="1:17" x14ac:dyDescent="0.25">
      <c r="A81" s="208">
        <v>2033</v>
      </c>
      <c r="B81" s="65">
        <v>0</v>
      </c>
      <c r="C81" s="65">
        <v>0</v>
      </c>
      <c r="D81" s="65">
        <v>0</v>
      </c>
      <c r="E81" s="1184">
        <f t="shared" si="0"/>
        <v>0</v>
      </c>
      <c r="F81" s="65">
        <v>0</v>
      </c>
      <c r="G81" s="65">
        <v>0</v>
      </c>
      <c r="H81" s="65">
        <v>0</v>
      </c>
      <c r="I81" s="211">
        <f t="shared" si="14"/>
        <v>70</v>
      </c>
      <c r="J81" s="211">
        <f t="shared" si="14"/>
        <v>70</v>
      </c>
      <c r="K81" s="1185">
        <f t="shared" si="1"/>
        <v>9.3800000000000008</v>
      </c>
      <c r="L81" s="212">
        <f t="shared" si="7"/>
        <v>140</v>
      </c>
      <c r="M81" s="213">
        <f t="shared" si="2"/>
        <v>0.103425</v>
      </c>
      <c r="N81" s="222">
        <f t="shared" si="3"/>
        <v>0.14000000000000001</v>
      </c>
      <c r="O81" s="198">
        <f t="shared" si="5"/>
        <v>9.3800000000000008</v>
      </c>
    </row>
    <row r="82" spans="1:17" x14ac:dyDescent="0.25">
      <c r="A82" s="208">
        <v>2034</v>
      </c>
      <c r="B82" s="65">
        <v>0</v>
      </c>
      <c r="C82" s="65">
        <v>0</v>
      </c>
      <c r="D82" s="65">
        <v>0</v>
      </c>
      <c r="E82" s="1184">
        <f t="shared" si="0"/>
        <v>0</v>
      </c>
      <c r="F82" s="65">
        <v>0</v>
      </c>
      <c r="G82" s="65">
        <v>0</v>
      </c>
      <c r="H82" s="65">
        <v>0</v>
      </c>
      <c r="I82" s="65">
        <v>0</v>
      </c>
      <c r="J82" s="211">
        <f t="shared" si="14"/>
        <v>70</v>
      </c>
      <c r="K82" s="1185">
        <f t="shared" si="1"/>
        <v>4.6900000000000004</v>
      </c>
      <c r="L82" s="212">
        <f t="shared" si="7"/>
        <v>70</v>
      </c>
      <c r="M82" s="213">
        <f t="shared" si="2"/>
        <v>5.1712500000000002E-2</v>
      </c>
      <c r="N82" s="222">
        <f t="shared" si="3"/>
        <v>7.0000000000000007E-2</v>
      </c>
      <c r="O82" s="198">
        <f t="shared" si="5"/>
        <v>4.6900000000000004</v>
      </c>
    </row>
    <row r="83" spans="1:17" x14ac:dyDescent="0.25">
      <c r="A83" s="208">
        <v>2035</v>
      </c>
      <c r="B83" s="65">
        <v>0</v>
      </c>
      <c r="C83" s="65">
        <v>0</v>
      </c>
      <c r="D83" s="65">
        <v>0</v>
      </c>
      <c r="E83" s="1184">
        <f t="shared" si="0"/>
        <v>0</v>
      </c>
      <c r="F83" s="65">
        <v>0</v>
      </c>
      <c r="G83" s="65">
        <v>0</v>
      </c>
      <c r="H83" s="65">
        <v>0</v>
      </c>
      <c r="I83" s="65">
        <v>0</v>
      </c>
      <c r="J83" s="65">
        <v>0</v>
      </c>
      <c r="K83" s="1185">
        <f t="shared" si="1"/>
        <v>0</v>
      </c>
      <c r="L83" s="212">
        <f t="shared" si="7"/>
        <v>0</v>
      </c>
      <c r="M83" s="213">
        <f t="shared" si="2"/>
        <v>0</v>
      </c>
      <c r="N83" s="222">
        <f t="shared" si="3"/>
        <v>0</v>
      </c>
      <c r="O83" s="198">
        <f>+N83*10^9*$F$52/10^6</f>
        <v>0</v>
      </c>
      <c r="P83" s="200">
        <f>SUM(O69:O83)</f>
        <v>384.99999999999994</v>
      </c>
      <c r="Q83" s="208" t="s">
        <v>47</v>
      </c>
    </row>
    <row r="84" spans="1:17" x14ac:dyDescent="0.25">
      <c r="E84" s="1186"/>
      <c r="K84" s="1186"/>
      <c r="L84" s="136"/>
      <c r="M84" s="136"/>
      <c r="N84" s="136"/>
    </row>
    <row r="85" spans="1:17" x14ac:dyDescent="0.25">
      <c r="A85" s="215" t="s">
        <v>8</v>
      </c>
      <c r="E85" s="1186"/>
      <c r="K85" s="1186"/>
      <c r="L85" s="136"/>
      <c r="N85" s="216"/>
      <c r="O85" s="217">
        <f>SUM(O61:O84)</f>
        <v>533.25000000000011</v>
      </c>
      <c r="P85" s="65" t="s">
        <v>732</v>
      </c>
    </row>
    <row r="86" spans="1:17" x14ac:dyDescent="0.25">
      <c r="A86" s="372"/>
      <c r="B86" s="83"/>
      <c r="C86" s="83"/>
      <c r="D86" s="83"/>
      <c r="E86" s="1186"/>
      <c r="F86" s="83"/>
      <c r="G86" s="83"/>
      <c r="H86" s="83"/>
      <c r="I86" s="83"/>
      <c r="J86" s="83"/>
      <c r="K86" s="1186"/>
      <c r="L86" s="83"/>
      <c r="M86" s="125"/>
      <c r="N86" s="1118"/>
    </row>
    <row r="87" spans="1:17" x14ac:dyDescent="0.25">
      <c r="A87" s="372"/>
      <c r="B87" s="83"/>
      <c r="C87" s="83"/>
      <c r="D87" s="83"/>
      <c r="E87" s="1187">
        <f>SUM(E61:E86)</f>
        <v>181.49999999999994</v>
      </c>
      <c r="F87" s="83"/>
      <c r="G87" s="83"/>
      <c r="H87" s="83"/>
      <c r="I87" s="83"/>
      <c r="J87" s="83"/>
      <c r="K87" s="1187">
        <f>SUM(K61:K86)</f>
        <v>351.74999999999994</v>
      </c>
      <c r="L87" s="83"/>
      <c r="M87" s="125"/>
      <c r="N87" s="1118"/>
    </row>
    <row r="88" spans="1:17" x14ac:dyDescent="0.25">
      <c r="A88" s="372"/>
      <c r="B88" s="83"/>
      <c r="C88" s="83"/>
      <c r="D88" s="83"/>
      <c r="E88" s="83"/>
      <c r="F88" s="83"/>
      <c r="G88" s="83"/>
      <c r="H88" s="83"/>
      <c r="I88" s="83"/>
      <c r="J88" s="83"/>
      <c r="K88" s="125"/>
      <c r="L88" s="83"/>
      <c r="M88" s="125"/>
      <c r="N88" s="1118"/>
    </row>
    <row r="90" spans="1:17" x14ac:dyDescent="0.25">
      <c r="A90" s="215" t="s">
        <v>806</v>
      </c>
      <c r="B90" s="956"/>
      <c r="C90" s="956"/>
      <c r="D90" s="956"/>
      <c r="E90" s="956"/>
      <c r="F90" s="956"/>
      <c r="G90" s="956"/>
      <c r="H90" s="956"/>
      <c r="I90" s="956"/>
      <c r="J90" s="956"/>
      <c r="K90" s="956"/>
      <c r="L90" s="956"/>
      <c r="M90" s="956"/>
      <c r="N90" s="956"/>
    </row>
    <row r="91" spans="1:17" s="83" customFormat="1" x14ac:dyDescent="0.25"/>
    <row r="92" spans="1:17" x14ac:dyDescent="0.25">
      <c r="A92" s="65" t="s">
        <v>249</v>
      </c>
      <c r="F92" s="221"/>
    </row>
    <row r="94" spans="1:17" x14ac:dyDescent="0.25">
      <c r="A94" s="203" t="str">
        <f>+Uitgangspunten!A23</f>
        <v>Energiebelasting elektra particulier. Deze wordt niet betaald bij eigen opgewekte elektriciteit en bepaalt dus de kosten van 'saldering'. Gemiddeld in 2017 - 2035. Energiebelasting op elektriciteit in voorgaande jaren is opgenomen in het tabblad PV.</v>
      </c>
      <c r="K94" s="224">
        <f>+Uitgangspunten!B23</f>
        <v>0.1</v>
      </c>
      <c r="L94" s="203" t="str">
        <f>+Uitgangspunten!C23</f>
        <v>per kWh</v>
      </c>
    </row>
    <row r="95" spans="1:17" x14ac:dyDescent="0.25">
      <c r="A95" s="203" t="str">
        <f>+Uitgangspunten!A24</f>
        <v>Vermeden uitgaven transport elektra voor particulier voor eigen opgewekte elektriciteit. Gemiddeld in 2003 - 2035</v>
      </c>
      <c r="K95" s="363">
        <f>+Uitgangspunten!B24</f>
        <v>0.05</v>
      </c>
      <c r="L95" s="65" t="s">
        <v>157</v>
      </c>
    </row>
    <row r="96" spans="1:17" x14ac:dyDescent="0.25">
      <c r="A96" s="203"/>
    </row>
    <row r="97" spans="1:15" x14ac:dyDescent="0.25">
      <c r="A97" s="65" t="s">
        <v>222</v>
      </c>
    </row>
    <row r="98" spans="1:15" ht="75" x14ac:dyDescent="0.25">
      <c r="A98" s="225"/>
      <c r="B98" s="226" t="s">
        <v>224</v>
      </c>
      <c r="C98" s="136" t="s">
        <v>223</v>
      </c>
      <c r="D98" s="226" t="s">
        <v>388</v>
      </c>
      <c r="E98" s="165" t="s">
        <v>1026</v>
      </c>
      <c r="F98" s="226" t="s">
        <v>276</v>
      </c>
      <c r="I98" s="226" t="s">
        <v>904</v>
      </c>
      <c r="L98" s="165" t="s">
        <v>361</v>
      </c>
      <c r="N98" s="14"/>
    </row>
    <row r="99" spans="1:15" ht="30" x14ac:dyDescent="0.25">
      <c r="A99" s="227">
        <v>2003</v>
      </c>
      <c r="B99" s="228">
        <v>0.1</v>
      </c>
      <c r="C99" s="172" t="s">
        <v>733</v>
      </c>
      <c r="D99" s="229">
        <f t="shared" ref="D99:D131" si="15">+B99/3.6</f>
        <v>2.777777777777778E-2</v>
      </c>
      <c r="E99" s="1188">
        <v>7.0000000000000007E-2</v>
      </c>
      <c r="F99" s="230">
        <f>+D99*E99*10^3</f>
        <v>1.9444444444444449</v>
      </c>
      <c r="I99" s="230">
        <f t="shared" ref="I99:I131" si="16">K$95*D99*10^3</f>
        <v>1.3888888888888891</v>
      </c>
      <c r="L99" s="230">
        <f>+F99+I99</f>
        <v>3.3333333333333339</v>
      </c>
      <c r="N99" s="14"/>
    </row>
    <row r="100" spans="1:15" x14ac:dyDescent="0.25">
      <c r="A100" s="227">
        <v>2004</v>
      </c>
      <c r="B100" s="228">
        <v>0.1</v>
      </c>
      <c r="C100" s="160" t="s">
        <v>237</v>
      </c>
      <c r="D100" s="229">
        <f t="shared" si="15"/>
        <v>2.777777777777778E-2</v>
      </c>
      <c r="E100" s="1188">
        <v>7.0000000000000007E-2</v>
      </c>
      <c r="F100" s="230">
        <f t="shared" ref="F100:F131" si="17">+D100*E100*10^3</f>
        <v>1.9444444444444449</v>
      </c>
      <c r="I100" s="230">
        <f t="shared" si="16"/>
        <v>1.3888888888888891</v>
      </c>
      <c r="L100" s="230">
        <f t="shared" ref="L100:L131" si="18">+F100+I100</f>
        <v>3.3333333333333339</v>
      </c>
      <c r="N100" s="14"/>
    </row>
    <row r="101" spans="1:15" s="83" customFormat="1" x14ac:dyDescent="0.25">
      <c r="A101" s="227">
        <v>2005</v>
      </c>
      <c r="B101" s="228">
        <v>0.1</v>
      </c>
      <c r="C101" s="160" t="s">
        <v>237</v>
      </c>
      <c r="D101" s="229">
        <f t="shared" si="15"/>
        <v>2.777777777777778E-2</v>
      </c>
      <c r="E101" s="1188">
        <v>7.0000000000000007E-2</v>
      </c>
      <c r="F101" s="230">
        <f t="shared" si="17"/>
        <v>1.9444444444444449</v>
      </c>
      <c r="I101" s="230">
        <f t="shared" si="16"/>
        <v>1.3888888888888891</v>
      </c>
      <c r="L101" s="230">
        <f t="shared" si="18"/>
        <v>3.3333333333333339</v>
      </c>
      <c r="M101" s="65"/>
      <c r="N101" s="14"/>
      <c r="O101" s="65"/>
    </row>
    <row r="102" spans="1:15" s="83" customFormat="1" x14ac:dyDescent="0.25">
      <c r="A102" s="227">
        <v>2006</v>
      </c>
      <c r="B102" s="228">
        <v>0.1</v>
      </c>
      <c r="C102" s="160" t="s">
        <v>237</v>
      </c>
      <c r="D102" s="229">
        <f t="shared" si="15"/>
        <v>2.777777777777778E-2</v>
      </c>
      <c r="E102" s="1189">
        <v>7.0499999999999993E-2</v>
      </c>
      <c r="F102" s="230">
        <f t="shared" si="17"/>
        <v>1.9583333333333333</v>
      </c>
      <c r="I102" s="230">
        <f t="shared" si="16"/>
        <v>1.3888888888888891</v>
      </c>
      <c r="L102" s="230">
        <f t="shared" si="18"/>
        <v>3.3472222222222223</v>
      </c>
      <c r="M102" s="65"/>
      <c r="N102" s="14"/>
      <c r="O102" s="65"/>
    </row>
    <row r="103" spans="1:15" s="83" customFormat="1" x14ac:dyDescent="0.25">
      <c r="A103" s="227">
        <v>2007</v>
      </c>
      <c r="B103" s="228">
        <v>0.1</v>
      </c>
      <c r="C103" s="160" t="s">
        <v>237</v>
      </c>
      <c r="D103" s="229">
        <f t="shared" si="15"/>
        <v>2.777777777777778E-2</v>
      </c>
      <c r="E103" s="1189">
        <v>7.1599999999999997E-2</v>
      </c>
      <c r="F103" s="230">
        <f t="shared" si="17"/>
        <v>1.9888888888888889</v>
      </c>
      <c r="I103" s="230">
        <f t="shared" si="16"/>
        <v>1.3888888888888891</v>
      </c>
      <c r="L103" s="230">
        <f t="shared" si="18"/>
        <v>3.3777777777777782</v>
      </c>
      <c r="M103" s="65"/>
      <c r="N103" s="14"/>
      <c r="O103" s="65"/>
    </row>
    <row r="104" spans="1:15" s="83" customFormat="1" x14ac:dyDescent="0.25">
      <c r="A104" s="227">
        <v>2008</v>
      </c>
      <c r="B104" s="228">
        <v>0.1</v>
      </c>
      <c r="C104" s="160" t="s">
        <v>237</v>
      </c>
      <c r="D104" s="229">
        <f t="shared" si="15"/>
        <v>2.777777777777778E-2</v>
      </c>
      <c r="E104" s="1189">
        <v>7.5200000000000003E-2</v>
      </c>
      <c r="F104" s="230">
        <f t="shared" si="17"/>
        <v>2.0888888888888895</v>
      </c>
      <c r="I104" s="230">
        <f t="shared" si="16"/>
        <v>1.3888888888888891</v>
      </c>
      <c r="L104" s="230">
        <f t="shared" si="18"/>
        <v>3.4777777777777787</v>
      </c>
      <c r="M104" s="65"/>
      <c r="N104" s="14"/>
      <c r="O104" s="65"/>
    </row>
    <row r="105" spans="1:15" s="83" customFormat="1" x14ac:dyDescent="0.25">
      <c r="A105" s="227">
        <v>2009</v>
      </c>
      <c r="B105" s="228">
        <v>0.1</v>
      </c>
      <c r="C105" s="160" t="s">
        <v>237</v>
      </c>
      <c r="D105" s="229">
        <f t="shared" si="15"/>
        <v>2.777777777777778E-2</v>
      </c>
      <c r="E105" s="1189">
        <v>0.1085</v>
      </c>
      <c r="F105" s="230">
        <f t="shared" si="17"/>
        <v>3.0138888888888888</v>
      </c>
      <c r="I105" s="230">
        <f t="shared" si="16"/>
        <v>1.3888888888888891</v>
      </c>
      <c r="L105" s="230">
        <f t="shared" si="18"/>
        <v>4.4027777777777777</v>
      </c>
      <c r="M105" s="65"/>
      <c r="N105" s="14"/>
      <c r="O105" s="65"/>
    </row>
    <row r="106" spans="1:15" s="83" customFormat="1" x14ac:dyDescent="0.25">
      <c r="A106" s="227">
        <v>2010</v>
      </c>
      <c r="B106" s="228">
        <v>0.2</v>
      </c>
      <c r="C106" s="160" t="s">
        <v>237</v>
      </c>
      <c r="D106" s="229">
        <f t="shared" si="15"/>
        <v>5.5555555555555559E-2</v>
      </c>
      <c r="E106" s="1189">
        <v>0.1114</v>
      </c>
      <c r="F106" s="230">
        <f t="shared" si="17"/>
        <v>6.18888888888889</v>
      </c>
      <c r="I106" s="230">
        <f t="shared" si="16"/>
        <v>2.7777777777777781</v>
      </c>
      <c r="L106" s="230">
        <f t="shared" si="18"/>
        <v>8.9666666666666686</v>
      </c>
      <c r="M106" s="65"/>
      <c r="N106" s="14"/>
      <c r="O106" s="65"/>
    </row>
    <row r="107" spans="1:15" s="83" customFormat="1" x14ac:dyDescent="0.25">
      <c r="A107" s="227">
        <v>2011</v>
      </c>
      <c r="B107" s="228">
        <v>0.4</v>
      </c>
      <c r="C107" s="160" t="s">
        <v>237</v>
      </c>
      <c r="D107" s="229">
        <f t="shared" si="15"/>
        <v>0.11111111111111112</v>
      </c>
      <c r="E107" s="1189">
        <v>0.11210000000000001</v>
      </c>
      <c r="F107" s="230">
        <f t="shared" si="17"/>
        <v>12.455555555555556</v>
      </c>
      <c r="I107" s="230">
        <f t="shared" si="16"/>
        <v>5.5555555555555562</v>
      </c>
      <c r="L107" s="230">
        <f t="shared" si="18"/>
        <v>18.011111111111113</v>
      </c>
      <c r="M107" s="65"/>
      <c r="N107" s="14"/>
      <c r="O107" s="65"/>
    </row>
    <row r="108" spans="1:15" s="83" customFormat="1" x14ac:dyDescent="0.25">
      <c r="A108" s="227">
        <v>2012</v>
      </c>
      <c r="B108" s="228">
        <v>1.3</v>
      </c>
      <c r="C108" s="160" t="s">
        <v>237</v>
      </c>
      <c r="D108" s="229">
        <f t="shared" si="15"/>
        <v>0.3611111111111111</v>
      </c>
      <c r="E108" s="1189">
        <v>0.114</v>
      </c>
      <c r="F108" s="230">
        <f t="shared" si="17"/>
        <v>41.166666666666671</v>
      </c>
      <c r="I108" s="230">
        <f t="shared" si="16"/>
        <v>18.055555555555557</v>
      </c>
      <c r="L108" s="230">
        <f t="shared" si="18"/>
        <v>59.222222222222229</v>
      </c>
      <c r="M108" s="65"/>
      <c r="N108" s="65"/>
      <c r="O108" s="65"/>
    </row>
    <row r="109" spans="1:15" ht="45" x14ac:dyDescent="0.25">
      <c r="A109" s="136">
        <v>2013</v>
      </c>
      <c r="B109" s="1190">
        <f>+I11</f>
        <v>1.5931763758389261</v>
      </c>
      <c r="C109" s="172" t="s">
        <v>899</v>
      </c>
      <c r="D109" s="229">
        <f t="shared" si="15"/>
        <v>0.4425489932885906</v>
      </c>
      <c r="E109" s="1188">
        <v>0.11650000000000001</v>
      </c>
      <c r="F109" s="230">
        <f t="shared" si="17"/>
        <v>51.556957718120806</v>
      </c>
      <c r="G109" s="387">
        <f>SUM(F99:F109)</f>
        <v>126.25140216256526</v>
      </c>
      <c r="H109" s="65" t="s">
        <v>238</v>
      </c>
      <c r="I109" s="230">
        <f t="shared" si="16"/>
        <v>22.127449664429534</v>
      </c>
      <c r="J109" s="387">
        <f>SUM(I99:I109)</f>
        <v>58.238560775540648</v>
      </c>
      <c r="K109" s="65" t="s">
        <v>238</v>
      </c>
      <c r="L109" s="230">
        <f t="shared" si="18"/>
        <v>73.684407382550347</v>
      </c>
      <c r="M109" s="387">
        <f>SUM(L99:L109)</f>
        <v>184.48996293810592</v>
      </c>
      <c r="N109" s="65" t="s">
        <v>238</v>
      </c>
    </row>
    <row r="110" spans="1:15" x14ac:dyDescent="0.25">
      <c r="A110" s="136">
        <v>2014</v>
      </c>
      <c r="B110" s="1190">
        <f>+J11</f>
        <v>2.5752194656488552</v>
      </c>
      <c r="C110" s="165" t="s">
        <v>237</v>
      </c>
      <c r="D110" s="229">
        <f t="shared" si="15"/>
        <v>0.71533874045801527</v>
      </c>
      <c r="E110" s="1188">
        <v>0.11849999999999999</v>
      </c>
      <c r="F110" s="230">
        <f t="shared" si="17"/>
        <v>84.7676407442748</v>
      </c>
      <c r="H110" s="83"/>
      <c r="I110" s="230">
        <f t="shared" si="16"/>
        <v>35.766937022900763</v>
      </c>
      <c r="K110" s="83"/>
      <c r="L110" s="230">
        <f t="shared" si="18"/>
        <v>120.53457776717556</v>
      </c>
      <c r="N110" s="83"/>
    </row>
    <row r="111" spans="1:15" x14ac:dyDescent="0.25">
      <c r="A111" s="136">
        <v>2015</v>
      </c>
      <c r="B111" s="1190">
        <f>+K11</f>
        <v>3.5726257425742576</v>
      </c>
      <c r="C111" s="165" t="s">
        <v>237</v>
      </c>
      <c r="D111" s="229">
        <f t="shared" si="15"/>
        <v>0.99239603960396039</v>
      </c>
      <c r="E111" s="1188">
        <v>0.1196</v>
      </c>
      <c r="F111" s="230">
        <f t="shared" si="17"/>
        <v>118.69056633663367</v>
      </c>
      <c r="H111" s="83"/>
      <c r="I111" s="230">
        <f t="shared" si="16"/>
        <v>49.619801980198027</v>
      </c>
      <c r="K111" s="83"/>
      <c r="L111" s="230">
        <f t="shared" si="18"/>
        <v>168.3103683168317</v>
      </c>
      <c r="N111" s="83"/>
    </row>
    <row r="112" spans="1:15" x14ac:dyDescent="0.25">
      <c r="A112" s="136">
        <v>2016</v>
      </c>
      <c r="B112" s="1042">
        <f>+(B$116-B$111)/5+B111</f>
        <v>4.7589005940594058</v>
      </c>
      <c r="C112" s="165" t="s">
        <v>225</v>
      </c>
      <c r="D112" s="229">
        <f t="shared" si="15"/>
        <v>1.3219168316831682</v>
      </c>
      <c r="E112" s="1188">
        <v>0.1007</v>
      </c>
      <c r="F112" s="230">
        <f t="shared" si="17"/>
        <v>133.11702495049505</v>
      </c>
      <c r="H112" s="83"/>
      <c r="I112" s="230">
        <f t="shared" si="16"/>
        <v>66.095841584158421</v>
      </c>
      <c r="K112" s="83"/>
      <c r="L112" s="230">
        <f t="shared" si="18"/>
        <v>199.21286653465347</v>
      </c>
      <c r="N112" s="1072">
        <f>SUM(L99:L112)</f>
        <v>672.54777555676662</v>
      </c>
      <c r="O112" s="65" t="s">
        <v>818</v>
      </c>
    </row>
    <row r="113" spans="1:14" x14ac:dyDescent="0.25">
      <c r="A113" s="136">
        <v>2017</v>
      </c>
      <c r="B113" s="1042">
        <f>+(B$116-B$111)/5+B112</f>
        <v>5.945175445544554</v>
      </c>
      <c r="C113" s="165" t="s">
        <v>225</v>
      </c>
      <c r="D113" s="229">
        <f t="shared" si="15"/>
        <v>1.651437623762376</v>
      </c>
      <c r="E113" s="1188">
        <v>0.1013</v>
      </c>
      <c r="F113" s="230">
        <f t="shared" si="17"/>
        <v>167.29063128712872</v>
      </c>
      <c r="I113" s="230">
        <f t="shared" si="16"/>
        <v>82.571881188118809</v>
      </c>
      <c r="L113" s="230">
        <f t="shared" si="18"/>
        <v>249.86251247524751</v>
      </c>
    </row>
    <row r="114" spans="1:14" x14ac:dyDescent="0.25">
      <c r="A114" s="136">
        <v>2018</v>
      </c>
      <c r="B114" s="1042">
        <f>+(B$116-B$111)/5+B113</f>
        <v>7.1314502970297022</v>
      </c>
      <c r="C114" s="165" t="s">
        <v>225</v>
      </c>
      <c r="D114" s="229">
        <f t="shared" si="15"/>
        <v>1.9809584158415838</v>
      </c>
      <c r="E114" s="1191">
        <f t="shared" ref="E114:E131" si="19">+$K$94</f>
        <v>0.1</v>
      </c>
      <c r="F114" s="230">
        <f t="shared" si="17"/>
        <v>198.09584158415839</v>
      </c>
      <c r="I114" s="230">
        <f t="shared" si="16"/>
        <v>99.047920792079196</v>
      </c>
      <c r="L114" s="230">
        <f t="shared" si="18"/>
        <v>297.14376237623759</v>
      </c>
    </row>
    <row r="115" spans="1:14" x14ac:dyDescent="0.25">
      <c r="A115" s="136">
        <v>2019</v>
      </c>
      <c r="B115" s="1042">
        <f>+(B$116-B$111)/5+B114</f>
        <v>8.3177251485148513</v>
      </c>
      <c r="C115" s="165" t="s">
        <v>225</v>
      </c>
      <c r="D115" s="229">
        <f t="shared" si="15"/>
        <v>2.3104792079207921</v>
      </c>
      <c r="E115" s="1191">
        <f t="shared" si="19"/>
        <v>0.1</v>
      </c>
      <c r="F115" s="230">
        <f t="shared" si="17"/>
        <v>231.04792079207922</v>
      </c>
      <c r="I115" s="230">
        <f t="shared" si="16"/>
        <v>115.52396039603961</v>
      </c>
      <c r="L115" s="230">
        <f t="shared" si="18"/>
        <v>346.57188118811882</v>
      </c>
    </row>
    <row r="116" spans="1:14" x14ac:dyDescent="0.25">
      <c r="A116" s="136">
        <v>2020</v>
      </c>
      <c r="B116" s="1119">
        <f>+H34+H30</f>
        <v>9.5039999999999996</v>
      </c>
      <c r="C116" s="165" t="s">
        <v>321</v>
      </c>
      <c r="D116" s="229">
        <f t="shared" si="15"/>
        <v>2.6399999999999997</v>
      </c>
      <c r="E116" s="1191">
        <f t="shared" si="19"/>
        <v>0.1</v>
      </c>
      <c r="F116" s="230">
        <f t="shared" si="17"/>
        <v>263.99999999999994</v>
      </c>
      <c r="G116" s="387">
        <f>SUM(F99:F116)</f>
        <v>1323.261027857335</v>
      </c>
      <c r="H116" s="208" t="s">
        <v>242</v>
      </c>
      <c r="I116" s="230">
        <f t="shared" si="16"/>
        <v>131.99999999999997</v>
      </c>
      <c r="J116" s="387">
        <f>SUM(I99:I116)</f>
        <v>638.86490373903541</v>
      </c>
      <c r="K116" s="208" t="s">
        <v>242</v>
      </c>
      <c r="L116" s="230">
        <f t="shared" si="18"/>
        <v>395.99999999999989</v>
      </c>
      <c r="M116" s="387">
        <f>SUM(L99:L116)</f>
        <v>1962.1259315963703</v>
      </c>
      <c r="N116" s="208" t="s">
        <v>242</v>
      </c>
    </row>
    <row r="117" spans="1:14" ht="60" x14ac:dyDescent="0.25">
      <c r="A117" s="136">
        <v>2021</v>
      </c>
      <c r="B117" s="1119">
        <f>+B116</f>
        <v>9.5039999999999996</v>
      </c>
      <c r="C117" s="165" t="s">
        <v>250</v>
      </c>
      <c r="D117" s="229">
        <f t="shared" si="15"/>
        <v>2.6399999999999997</v>
      </c>
      <c r="E117" s="1191">
        <f t="shared" si="19"/>
        <v>0.1</v>
      </c>
      <c r="F117" s="230">
        <f t="shared" si="17"/>
        <v>263.99999999999994</v>
      </c>
      <c r="I117" s="230">
        <f t="shared" si="16"/>
        <v>131.99999999999997</v>
      </c>
      <c r="L117" s="230">
        <f t="shared" si="18"/>
        <v>395.99999999999989</v>
      </c>
    </row>
    <row r="118" spans="1:14" x14ac:dyDescent="0.25">
      <c r="A118" s="136">
        <v>2022</v>
      </c>
      <c r="B118" s="1119">
        <f t="shared" ref="B118:B131" si="20">+B117</f>
        <v>9.5039999999999996</v>
      </c>
      <c r="C118" s="165"/>
      <c r="D118" s="229">
        <f t="shared" si="15"/>
        <v>2.6399999999999997</v>
      </c>
      <c r="E118" s="1191">
        <f t="shared" si="19"/>
        <v>0.1</v>
      </c>
      <c r="F118" s="230">
        <f t="shared" si="17"/>
        <v>263.99999999999994</v>
      </c>
      <c r="I118" s="230">
        <f t="shared" si="16"/>
        <v>131.99999999999997</v>
      </c>
      <c r="L118" s="230">
        <f t="shared" si="18"/>
        <v>395.99999999999989</v>
      </c>
    </row>
    <row r="119" spans="1:14" x14ac:dyDescent="0.25">
      <c r="A119" s="136">
        <v>2023</v>
      </c>
      <c r="B119" s="1119">
        <f t="shared" si="20"/>
        <v>9.5039999999999996</v>
      </c>
      <c r="C119" s="136"/>
      <c r="D119" s="229">
        <f t="shared" si="15"/>
        <v>2.6399999999999997</v>
      </c>
      <c r="E119" s="1191">
        <f t="shared" si="19"/>
        <v>0.1</v>
      </c>
      <c r="F119" s="230">
        <f t="shared" si="17"/>
        <v>263.99999999999994</v>
      </c>
      <c r="I119" s="230">
        <f t="shared" si="16"/>
        <v>131.99999999999997</v>
      </c>
      <c r="L119" s="230">
        <f t="shared" si="18"/>
        <v>395.99999999999989</v>
      </c>
    </row>
    <row r="120" spans="1:14" x14ac:dyDescent="0.25">
      <c r="A120" s="136">
        <v>2024</v>
      </c>
      <c r="B120" s="1119">
        <f t="shared" si="20"/>
        <v>9.5039999999999996</v>
      </c>
      <c r="C120" s="136"/>
      <c r="D120" s="229">
        <f t="shared" si="15"/>
        <v>2.6399999999999997</v>
      </c>
      <c r="E120" s="1191">
        <f t="shared" si="19"/>
        <v>0.1</v>
      </c>
      <c r="F120" s="230">
        <f t="shared" si="17"/>
        <v>263.99999999999994</v>
      </c>
      <c r="I120" s="230">
        <f t="shared" si="16"/>
        <v>131.99999999999997</v>
      </c>
      <c r="L120" s="230">
        <f t="shared" si="18"/>
        <v>395.99999999999989</v>
      </c>
    </row>
    <row r="121" spans="1:14" x14ac:dyDescent="0.25">
      <c r="A121" s="136">
        <v>2025</v>
      </c>
      <c r="B121" s="1119">
        <f t="shared" si="20"/>
        <v>9.5039999999999996</v>
      </c>
      <c r="C121" s="136"/>
      <c r="D121" s="229">
        <f t="shared" si="15"/>
        <v>2.6399999999999997</v>
      </c>
      <c r="E121" s="1191">
        <f t="shared" si="19"/>
        <v>0.1</v>
      </c>
      <c r="F121" s="230">
        <f t="shared" si="17"/>
        <v>263.99999999999994</v>
      </c>
      <c r="I121" s="230">
        <f t="shared" si="16"/>
        <v>131.99999999999997</v>
      </c>
      <c r="L121" s="230">
        <f t="shared" si="18"/>
        <v>395.99999999999989</v>
      </c>
    </row>
    <row r="122" spans="1:14" x14ac:dyDescent="0.25">
      <c r="A122" s="136">
        <v>2026</v>
      </c>
      <c r="B122" s="213">
        <f t="shared" si="20"/>
        <v>9.5039999999999996</v>
      </c>
      <c r="C122" s="136"/>
      <c r="D122" s="229">
        <f t="shared" si="15"/>
        <v>2.6399999999999997</v>
      </c>
      <c r="E122" s="1191">
        <f t="shared" si="19"/>
        <v>0.1</v>
      </c>
      <c r="F122" s="230">
        <f t="shared" si="17"/>
        <v>263.99999999999994</v>
      </c>
      <c r="I122" s="230">
        <f t="shared" si="16"/>
        <v>131.99999999999997</v>
      </c>
      <c r="L122" s="230">
        <f t="shared" si="18"/>
        <v>395.99999999999989</v>
      </c>
    </row>
    <row r="123" spans="1:14" x14ac:dyDescent="0.25">
      <c r="A123" s="136">
        <v>2027</v>
      </c>
      <c r="B123" s="213">
        <f t="shared" si="20"/>
        <v>9.5039999999999996</v>
      </c>
      <c r="C123" s="136"/>
      <c r="D123" s="229">
        <f t="shared" si="15"/>
        <v>2.6399999999999997</v>
      </c>
      <c r="E123" s="1191">
        <f t="shared" si="19"/>
        <v>0.1</v>
      </c>
      <c r="F123" s="230">
        <f t="shared" si="17"/>
        <v>263.99999999999994</v>
      </c>
      <c r="I123" s="230">
        <f t="shared" si="16"/>
        <v>131.99999999999997</v>
      </c>
      <c r="L123" s="230">
        <f t="shared" si="18"/>
        <v>395.99999999999989</v>
      </c>
    </row>
    <row r="124" spans="1:14" x14ac:dyDescent="0.25">
      <c r="A124" s="136">
        <v>2028</v>
      </c>
      <c r="B124" s="213">
        <f t="shared" si="20"/>
        <v>9.5039999999999996</v>
      </c>
      <c r="C124" s="136"/>
      <c r="D124" s="229">
        <f t="shared" si="15"/>
        <v>2.6399999999999997</v>
      </c>
      <c r="E124" s="1191">
        <f t="shared" si="19"/>
        <v>0.1</v>
      </c>
      <c r="F124" s="230">
        <f t="shared" si="17"/>
        <v>263.99999999999994</v>
      </c>
      <c r="I124" s="230">
        <f t="shared" si="16"/>
        <v>131.99999999999997</v>
      </c>
      <c r="L124" s="230">
        <f t="shared" si="18"/>
        <v>395.99999999999989</v>
      </c>
    </row>
    <row r="125" spans="1:14" x14ac:dyDescent="0.25">
      <c r="A125" s="136">
        <v>2029</v>
      </c>
      <c r="B125" s="213">
        <f t="shared" si="20"/>
        <v>9.5039999999999996</v>
      </c>
      <c r="C125" s="136"/>
      <c r="D125" s="229">
        <f t="shared" si="15"/>
        <v>2.6399999999999997</v>
      </c>
      <c r="E125" s="1191">
        <f t="shared" si="19"/>
        <v>0.1</v>
      </c>
      <c r="F125" s="230">
        <f t="shared" si="17"/>
        <v>263.99999999999994</v>
      </c>
      <c r="I125" s="230">
        <f t="shared" si="16"/>
        <v>131.99999999999997</v>
      </c>
      <c r="L125" s="230">
        <f t="shared" si="18"/>
        <v>395.99999999999989</v>
      </c>
    </row>
    <row r="126" spans="1:14" x14ac:dyDescent="0.25">
      <c r="A126" s="136">
        <v>2030</v>
      </c>
      <c r="B126" s="213">
        <f t="shared" si="20"/>
        <v>9.5039999999999996</v>
      </c>
      <c r="C126" s="136"/>
      <c r="D126" s="229">
        <f t="shared" si="15"/>
        <v>2.6399999999999997</v>
      </c>
      <c r="E126" s="1191">
        <f t="shared" si="19"/>
        <v>0.1</v>
      </c>
      <c r="F126" s="230">
        <f t="shared" si="17"/>
        <v>263.99999999999994</v>
      </c>
      <c r="I126" s="230">
        <f t="shared" si="16"/>
        <v>131.99999999999997</v>
      </c>
      <c r="L126" s="230">
        <f t="shared" si="18"/>
        <v>395.99999999999989</v>
      </c>
    </row>
    <row r="127" spans="1:14" x14ac:dyDescent="0.25">
      <c r="A127" s="136">
        <v>2031</v>
      </c>
      <c r="B127" s="213">
        <f t="shared" si="20"/>
        <v>9.5039999999999996</v>
      </c>
      <c r="C127" s="136"/>
      <c r="D127" s="229">
        <f t="shared" si="15"/>
        <v>2.6399999999999997</v>
      </c>
      <c r="E127" s="1191">
        <f t="shared" si="19"/>
        <v>0.1</v>
      </c>
      <c r="F127" s="230">
        <f t="shared" si="17"/>
        <v>263.99999999999994</v>
      </c>
      <c r="I127" s="230">
        <f t="shared" si="16"/>
        <v>131.99999999999997</v>
      </c>
      <c r="L127" s="230">
        <f t="shared" si="18"/>
        <v>395.99999999999989</v>
      </c>
    </row>
    <row r="128" spans="1:14" x14ac:dyDescent="0.25">
      <c r="A128" s="136">
        <v>2032</v>
      </c>
      <c r="B128" s="213">
        <f t="shared" si="20"/>
        <v>9.5039999999999996</v>
      </c>
      <c r="C128" s="136"/>
      <c r="D128" s="229">
        <f t="shared" si="15"/>
        <v>2.6399999999999997</v>
      </c>
      <c r="E128" s="1191">
        <f t="shared" si="19"/>
        <v>0.1</v>
      </c>
      <c r="F128" s="230">
        <f t="shared" si="17"/>
        <v>263.99999999999994</v>
      </c>
      <c r="I128" s="230">
        <f t="shared" si="16"/>
        <v>131.99999999999997</v>
      </c>
      <c r="L128" s="230">
        <f t="shared" si="18"/>
        <v>395.99999999999989</v>
      </c>
    </row>
    <row r="129" spans="1:14" x14ac:dyDescent="0.25">
      <c r="A129" s="136">
        <v>2033</v>
      </c>
      <c r="B129" s="213">
        <f t="shared" si="20"/>
        <v>9.5039999999999996</v>
      </c>
      <c r="C129" s="136"/>
      <c r="D129" s="229">
        <f t="shared" si="15"/>
        <v>2.6399999999999997</v>
      </c>
      <c r="E129" s="1191">
        <f t="shared" si="19"/>
        <v>0.1</v>
      </c>
      <c r="F129" s="230">
        <f t="shared" si="17"/>
        <v>263.99999999999994</v>
      </c>
      <c r="I129" s="230">
        <f t="shared" si="16"/>
        <v>131.99999999999997</v>
      </c>
      <c r="L129" s="230">
        <f t="shared" si="18"/>
        <v>395.99999999999989</v>
      </c>
    </row>
    <row r="130" spans="1:14" x14ac:dyDescent="0.25">
      <c r="A130" s="136">
        <v>2034</v>
      </c>
      <c r="B130" s="213">
        <f t="shared" si="20"/>
        <v>9.5039999999999996</v>
      </c>
      <c r="C130" s="136"/>
      <c r="D130" s="229">
        <f t="shared" si="15"/>
        <v>2.6399999999999997</v>
      </c>
      <c r="E130" s="1191">
        <f t="shared" si="19"/>
        <v>0.1</v>
      </c>
      <c r="F130" s="230">
        <f t="shared" si="17"/>
        <v>263.99999999999994</v>
      </c>
      <c r="I130" s="230">
        <f t="shared" si="16"/>
        <v>131.99999999999997</v>
      </c>
      <c r="L130" s="230">
        <f t="shared" si="18"/>
        <v>395.99999999999989</v>
      </c>
    </row>
    <row r="131" spans="1:14" x14ac:dyDescent="0.25">
      <c r="A131" s="136">
        <v>2035</v>
      </c>
      <c r="B131" s="213">
        <f t="shared" si="20"/>
        <v>9.5039999999999996</v>
      </c>
      <c r="C131" s="136"/>
      <c r="D131" s="229">
        <f t="shared" si="15"/>
        <v>2.6399999999999997</v>
      </c>
      <c r="E131" s="1191">
        <f t="shared" si="19"/>
        <v>0.1</v>
      </c>
      <c r="F131" s="230">
        <f t="shared" si="17"/>
        <v>263.99999999999994</v>
      </c>
      <c r="G131" s="388">
        <f>SUM(F117:F131)</f>
        <v>3959.9999999999995</v>
      </c>
      <c r="H131" s="208" t="s">
        <v>47</v>
      </c>
      <c r="I131" s="230">
        <f t="shared" si="16"/>
        <v>131.99999999999997</v>
      </c>
      <c r="J131" s="388">
        <f>SUM(I117:I131)</f>
        <v>1979.9999999999998</v>
      </c>
      <c r="K131" s="208" t="s">
        <v>47</v>
      </c>
      <c r="L131" s="230">
        <f t="shared" si="18"/>
        <v>395.99999999999989</v>
      </c>
      <c r="M131" s="388">
        <f>SUM(L117:L131)</f>
        <v>5939.9999999999991</v>
      </c>
      <c r="N131" s="208" t="s">
        <v>47</v>
      </c>
    </row>
  </sheetData>
  <mergeCells count="2">
    <mergeCell ref="A56:D56"/>
    <mergeCell ref="C46:E46"/>
  </mergeCells>
  <hyperlinks>
    <hyperlink ref="G13" r:id="rId1"/>
    <hyperlink ref="G14" r:id="rId2"/>
  </hyperlinks>
  <pageMargins left="0.7" right="0.7" top="0.75" bottom="0.75" header="0.3" footer="0.3"/>
  <pageSetup paperSize="9" orientation="portrait"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5"/>
  <sheetViews>
    <sheetView zoomScale="80" zoomScaleNormal="80" workbookViewId="0">
      <selection activeCell="E93" sqref="E93"/>
    </sheetView>
  </sheetViews>
  <sheetFormatPr defaultRowHeight="15" x14ac:dyDescent="0.25"/>
  <cols>
    <col min="1" max="1" width="9.140625" customWidth="1"/>
    <col min="3" max="3" width="13.28515625" customWidth="1"/>
    <col min="4" max="4" width="29.28515625" customWidth="1"/>
    <col min="5" max="5" width="16.42578125" customWidth="1"/>
    <col min="6" max="6" width="15.28515625" bestFit="1" customWidth="1"/>
    <col min="9" max="9" width="26.140625" customWidth="1"/>
    <col min="11" max="11" width="12.140625" customWidth="1"/>
    <col min="12" max="12" width="13.28515625" customWidth="1"/>
    <col min="13" max="13" width="13" customWidth="1"/>
    <col min="20" max="20" width="11.28515625" bestFit="1" customWidth="1"/>
  </cols>
  <sheetData>
    <row r="1" spans="1:15" ht="21" x14ac:dyDescent="0.35">
      <c r="A1" s="196" t="s">
        <v>527</v>
      </c>
      <c r="B1" s="197"/>
      <c r="C1" s="197"/>
      <c r="D1" s="197"/>
      <c r="E1" s="197"/>
      <c r="F1" s="197"/>
      <c r="G1" s="197"/>
      <c r="H1" s="197"/>
      <c r="I1" s="197"/>
      <c r="J1" s="197"/>
      <c r="K1" s="197"/>
    </row>
    <row r="2" spans="1:15" s="3" customFormat="1" ht="21" x14ac:dyDescent="0.35">
      <c r="A2" s="957" t="s">
        <v>326</v>
      </c>
      <c r="B2" s="958"/>
      <c r="C2" s="958"/>
      <c r="D2" s="958"/>
      <c r="E2" s="958"/>
      <c r="F2" s="958"/>
      <c r="G2" s="958"/>
      <c r="H2" s="958"/>
      <c r="I2" s="958"/>
      <c r="J2" s="958"/>
      <c r="K2" s="958"/>
      <c r="L2"/>
      <c r="M2"/>
      <c r="N2"/>
    </row>
    <row r="3" spans="1:15" x14ac:dyDescent="0.25">
      <c r="B3" t="s">
        <v>727</v>
      </c>
      <c r="D3" s="65"/>
      <c r="E3" s="65"/>
      <c r="F3" s="65">
        <v>1.05</v>
      </c>
      <c r="G3" s="65" t="s">
        <v>177</v>
      </c>
      <c r="H3" s="876" t="s">
        <v>793</v>
      </c>
      <c r="I3" s="83"/>
      <c r="J3" s="3"/>
    </row>
    <row r="4" spans="1:15" x14ac:dyDescent="0.25">
      <c r="B4" t="s">
        <v>319</v>
      </c>
      <c r="D4" s="65"/>
      <c r="E4" s="65"/>
      <c r="F4" s="151">
        <f>IF(Uitgangspunten!B27&lt;Warmte!F3,F3,Uitgangspunten!B27)</f>
        <v>1.6</v>
      </c>
      <c r="G4" s="65" t="s">
        <v>315</v>
      </c>
      <c r="H4" s="65"/>
      <c r="I4" s="65"/>
    </row>
    <row r="5" spans="1:15" x14ac:dyDescent="0.25">
      <c r="B5" s="65" t="s">
        <v>150</v>
      </c>
      <c r="F5" s="21">
        <f>+Uitgangspunten!B26</f>
        <v>6.6000000000000003E-2</v>
      </c>
      <c r="G5" t="s">
        <v>157</v>
      </c>
    </row>
    <row r="6" spans="1:15" x14ac:dyDescent="0.25">
      <c r="B6" s="65" t="s">
        <v>150</v>
      </c>
      <c r="F6" s="360">
        <f>+F5/3.6*10^9</f>
        <v>18333333.333333332</v>
      </c>
      <c r="G6" t="s">
        <v>322</v>
      </c>
    </row>
    <row r="7" spans="1:15" x14ac:dyDescent="0.25">
      <c r="J7" s="8"/>
      <c r="K7" s="8"/>
      <c r="O7" s="8"/>
    </row>
    <row r="8" spans="1:15" x14ac:dyDescent="0.25">
      <c r="B8" s="208" t="s">
        <v>320</v>
      </c>
      <c r="C8" s="208"/>
      <c r="D8" s="208"/>
      <c r="E8" s="65"/>
      <c r="F8" s="65"/>
      <c r="G8" s="65"/>
      <c r="H8" s="65"/>
      <c r="I8" s="65"/>
      <c r="J8" s="102"/>
      <c r="K8" s="359"/>
      <c r="O8" s="8"/>
    </row>
    <row r="9" spans="1:15" ht="30" x14ac:dyDescent="0.25">
      <c r="B9" s="356"/>
      <c r="C9" s="357" t="s">
        <v>337</v>
      </c>
      <c r="D9" s="225" t="s">
        <v>223</v>
      </c>
      <c r="E9" s="167" t="s">
        <v>272</v>
      </c>
      <c r="F9" s="65"/>
      <c r="G9" s="65"/>
      <c r="J9" s="8"/>
      <c r="K9" s="8"/>
      <c r="O9" s="8"/>
    </row>
    <row r="10" spans="1:15" x14ac:dyDescent="0.25">
      <c r="B10" s="136">
        <v>2013</v>
      </c>
      <c r="C10" s="4">
        <v>0</v>
      </c>
      <c r="D10" s="4"/>
      <c r="E10" s="361">
        <f>+C10*F$6/10^6</f>
        <v>0</v>
      </c>
      <c r="F10" s="65"/>
      <c r="G10" s="65"/>
    </row>
    <row r="11" spans="1:15" x14ac:dyDescent="0.25">
      <c r="B11" s="136">
        <v>2014</v>
      </c>
      <c r="C11" s="355">
        <f t="shared" ref="C11:C16" si="0">+(C$17-C$10)/7+C10</f>
        <v>7.8571428571428584E-2</v>
      </c>
      <c r="D11" s="165" t="s">
        <v>225</v>
      </c>
      <c r="E11" s="361">
        <f t="shared" ref="E11:E32" si="1">+C11*F$6/10^6</f>
        <v>1.4404761904761905</v>
      </c>
      <c r="F11" s="65"/>
      <c r="G11" s="65"/>
    </row>
    <row r="12" spans="1:15" x14ac:dyDescent="0.25">
      <c r="B12" s="136">
        <v>2015</v>
      </c>
      <c r="C12" s="355">
        <f t="shared" si="0"/>
        <v>0.15714285714285717</v>
      </c>
      <c r="D12" s="165" t="s">
        <v>225</v>
      </c>
      <c r="E12" s="361">
        <f t="shared" si="1"/>
        <v>2.8809523809523809</v>
      </c>
      <c r="F12" s="65"/>
      <c r="G12" s="65"/>
    </row>
    <row r="13" spans="1:15" x14ac:dyDescent="0.25">
      <c r="B13" s="136">
        <v>2016</v>
      </c>
      <c r="C13" s="355">
        <f t="shared" si="0"/>
        <v>0.23571428571428577</v>
      </c>
      <c r="D13" s="165" t="s">
        <v>225</v>
      </c>
      <c r="E13" s="361">
        <f t="shared" si="1"/>
        <v>4.3214285714285721</v>
      </c>
      <c r="F13" s="65"/>
      <c r="G13" s="65"/>
    </row>
    <row r="14" spans="1:15" x14ac:dyDescent="0.25">
      <c r="B14" s="136">
        <v>2017</v>
      </c>
      <c r="C14" s="355">
        <f t="shared" si="0"/>
        <v>0.31428571428571433</v>
      </c>
      <c r="D14" s="165" t="s">
        <v>225</v>
      </c>
      <c r="E14" s="361">
        <f t="shared" si="1"/>
        <v>5.7619047619047619</v>
      </c>
      <c r="F14" s="65"/>
      <c r="G14" s="65"/>
    </row>
    <row r="15" spans="1:15" x14ac:dyDescent="0.25">
      <c r="B15" s="136">
        <v>2018</v>
      </c>
      <c r="C15" s="355">
        <f t="shared" si="0"/>
        <v>0.3928571428571429</v>
      </c>
      <c r="D15" s="165" t="s">
        <v>225</v>
      </c>
      <c r="E15" s="361">
        <f t="shared" si="1"/>
        <v>7.2023809523809526</v>
      </c>
      <c r="F15" s="65"/>
      <c r="G15" s="65"/>
    </row>
    <row r="16" spans="1:15" x14ac:dyDescent="0.25">
      <c r="B16" s="136">
        <v>2019</v>
      </c>
      <c r="C16" s="355">
        <f t="shared" si="0"/>
        <v>0.47142857142857147</v>
      </c>
      <c r="D16" s="165" t="s">
        <v>225</v>
      </c>
      <c r="E16" s="361">
        <f t="shared" si="1"/>
        <v>8.6428571428571441</v>
      </c>
      <c r="F16" s="65"/>
      <c r="G16" s="65"/>
    </row>
    <row r="17" spans="1:7" x14ac:dyDescent="0.25">
      <c r="B17" s="136">
        <v>2020</v>
      </c>
      <c r="C17" s="358">
        <f>+F4-F3</f>
        <v>0.55000000000000004</v>
      </c>
      <c r="D17" s="160" t="s">
        <v>321</v>
      </c>
      <c r="E17" s="361">
        <f t="shared" si="1"/>
        <v>10.083333333333334</v>
      </c>
      <c r="F17" s="231">
        <f>SUM(E10:E17)</f>
        <v>40.333333333333336</v>
      </c>
      <c r="G17" s="208" t="s">
        <v>197</v>
      </c>
    </row>
    <row r="18" spans="1:7" x14ac:dyDescent="0.25">
      <c r="B18" s="136">
        <v>2021</v>
      </c>
      <c r="C18" s="355">
        <f t="shared" ref="C18:C25" si="2">+C17</f>
        <v>0.55000000000000004</v>
      </c>
      <c r="D18" s="165" t="s">
        <v>324</v>
      </c>
      <c r="E18" s="361">
        <f>+C18*F$6/10^6</f>
        <v>10.083333333333334</v>
      </c>
    </row>
    <row r="19" spans="1:7" x14ac:dyDescent="0.25">
      <c r="B19" s="136">
        <v>2022</v>
      </c>
      <c r="C19" s="355">
        <f t="shared" si="2"/>
        <v>0.55000000000000004</v>
      </c>
      <c r="D19" s="165" t="s">
        <v>324</v>
      </c>
      <c r="E19" s="361">
        <f t="shared" si="1"/>
        <v>10.083333333333334</v>
      </c>
      <c r="F19" s="65"/>
      <c r="G19" s="65"/>
    </row>
    <row r="20" spans="1:7" x14ac:dyDescent="0.25">
      <c r="B20" s="136">
        <v>2023</v>
      </c>
      <c r="C20" s="355">
        <f t="shared" si="2"/>
        <v>0.55000000000000004</v>
      </c>
      <c r="D20" s="165" t="s">
        <v>324</v>
      </c>
      <c r="E20" s="361">
        <f t="shared" si="1"/>
        <v>10.083333333333334</v>
      </c>
      <c r="F20" s="65"/>
      <c r="G20" s="65"/>
    </row>
    <row r="21" spans="1:7" x14ac:dyDescent="0.25">
      <c r="B21" s="136">
        <v>2024</v>
      </c>
      <c r="C21" s="355">
        <f t="shared" si="2"/>
        <v>0.55000000000000004</v>
      </c>
      <c r="D21" s="165" t="s">
        <v>324</v>
      </c>
      <c r="E21" s="361">
        <f t="shared" si="1"/>
        <v>10.083333333333334</v>
      </c>
      <c r="F21" s="65"/>
      <c r="G21" s="65"/>
    </row>
    <row r="22" spans="1:7" x14ac:dyDescent="0.25">
      <c r="B22" s="136">
        <v>2025</v>
      </c>
      <c r="C22" s="355">
        <f t="shared" si="2"/>
        <v>0.55000000000000004</v>
      </c>
      <c r="D22" s="165" t="s">
        <v>324</v>
      </c>
      <c r="E22" s="361">
        <f t="shared" si="1"/>
        <v>10.083333333333334</v>
      </c>
      <c r="F22" s="223"/>
      <c r="G22" s="65"/>
    </row>
    <row r="23" spans="1:7" x14ac:dyDescent="0.25">
      <c r="B23" s="136">
        <v>2026</v>
      </c>
      <c r="C23" s="355">
        <f t="shared" si="2"/>
        <v>0.55000000000000004</v>
      </c>
      <c r="D23" s="165" t="s">
        <v>324</v>
      </c>
      <c r="E23" s="361">
        <f t="shared" si="1"/>
        <v>10.083333333333334</v>
      </c>
      <c r="F23" s="65"/>
      <c r="G23" s="65"/>
    </row>
    <row r="24" spans="1:7" x14ac:dyDescent="0.25">
      <c r="A24" s="3"/>
      <c r="B24" s="136">
        <v>2027</v>
      </c>
      <c r="C24" s="355">
        <f t="shared" si="2"/>
        <v>0.55000000000000004</v>
      </c>
      <c r="D24" s="165" t="s">
        <v>324</v>
      </c>
      <c r="E24" s="361">
        <f t="shared" si="1"/>
        <v>10.083333333333334</v>
      </c>
      <c r="F24" s="65"/>
      <c r="G24" s="65"/>
    </row>
    <row r="25" spans="1:7" x14ac:dyDescent="0.25">
      <c r="A25" s="3"/>
      <c r="B25" s="136">
        <v>2028</v>
      </c>
      <c r="C25" s="355">
        <f t="shared" si="2"/>
        <v>0.55000000000000004</v>
      </c>
      <c r="D25" s="165" t="s">
        <v>324</v>
      </c>
      <c r="E25" s="361">
        <f t="shared" si="1"/>
        <v>10.083333333333334</v>
      </c>
      <c r="F25" s="65"/>
      <c r="G25" s="65"/>
    </row>
    <row r="26" spans="1:7" x14ac:dyDescent="0.25">
      <c r="A26" s="17"/>
      <c r="B26" s="136">
        <v>2029</v>
      </c>
      <c r="C26" s="355">
        <f t="shared" ref="C26:C32" si="3">+C25-C$11</f>
        <v>0.47142857142857147</v>
      </c>
      <c r="D26" s="165" t="s">
        <v>324</v>
      </c>
      <c r="E26" s="361">
        <f t="shared" si="1"/>
        <v>8.6428571428571441</v>
      </c>
      <c r="F26" s="65"/>
      <c r="G26" s="65"/>
    </row>
    <row r="27" spans="1:7" ht="15.75" x14ac:dyDescent="0.25">
      <c r="A27" s="352"/>
      <c r="B27" s="136">
        <v>2030</v>
      </c>
      <c r="C27" s="355">
        <f t="shared" si="3"/>
        <v>0.3928571428571429</v>
      </c>
      <c r="D27" s="165" t="s">
        <v>324</v>
      </c>
      <c r="E27" s="361">
        <f t="shared" si="1"/>
        <v>7.2023809523809526</v>
      </c>
      <c r="F27" s="65"/>
      <c r="G27" s="65"/>
    </row>
    <row r="28" spans="1:7" ht="15.75" x14ac:dyDescent="0.25">
      <c r="A28" s="353"/>
      <c r="B28" s="136">
        <v>2031</v>
      </c>
      <c r="C28" s="355">
        <f t="shared" si="3"/>
        <v>0.31428571428571433</v>
      </c>
      <c r="D28" s="165" t="s">
        <v>324</v>
      </c>
      <c r="E28" s="361">
        <f t="shared" si="1"/>
        <v>5.7619047619047619</v>
      </c>
      <c r="F28" s="65"/>
      <c r="G28" s="65"/>
    </row>
    <row r="29" spans="1:7" ht="15.75" x14ac:dyDescent="0.25">
      <c r="A29" s="354"/>
      <c r="B29" s="136">
        <v>2032</v>
      </c>
      <c r="C29" s="355">
        <f t="shared" si="3"/>
        <v>0.23571428571428577</v>
      </c>
      <c r="D29" s="165" t="s">
        <v>324</v>
      </c>
      <c r="E29" s="361">
        <f t="shared" si="1"/>
        <v>4.3214285714285721</v>
      </c>
      <c r="F29" s="65"/>
      <c r="G29" s="65"/>
    </row>
    <row r="30" spans="1:7" ht="15.75" x14ac:dyDescent="0.25">
      <c r="A30" s="352"/>
      <c r="B30" s="136">
        <v>2033</v>
      </c>
      <c r="C30" s="355">
        <f t="shared" si="3"/>
        <v>0.1571428571428572</v>
      </c>
      <c r="D30" s="165" t="s">
        <v>324</v>
      </c>
      <c r="E30" s="361">
        <f t="shared" si="1"/>
        <v>2.8809523809523814</v>
      </c>
      <c r="F30" s="65"/>
      <c r="G30" s="65"/>
    </row>
    <row r="31" spans="1:7" x14ac:dyDescent="0.25">
      <c r="A31" s="17"/>
      <c r="B31" s="136">
        <v>2034</v>
      </c>
      <c r="C31" s="355">
        <f t="shared" si="3"/>
        <v>7.8571428571428611E-2</v>
      </c>
      <c r="D31" s="165" t="s">
        <v>324</v>
      </c>
      <c r="E31" s="361">
        <f t="shared" si="1"/>
        <v>1.4404761904761909</v>
      </c>
      <c r="F31" s="65"/>
      <c r="G31" s="65"/>
    </row>
    <row r="32" spans="1:7" x14ac:dyDescent="0.25">
      <c r="A32" s="17"/>
      <c r="B32" s="136">
        <v>2035</v>
      </c>
      <c r="C32" s="355">
        <f t="shared" si="3"/>
        <v>0</v>
      </c>
      <c r="D32" s="165" t="s">
        <v>324</v>
      </c>
      <c r="E32" s="361">
        <f t="shared" si="1"/>
        <v>0</v>
      </c>
      <c r="F32" s="232">
        <f>SUM(E18:E32)</f>
        <v>110.91666666666666</v>
      </c>
      <c r="G32" s="208" t="s">
        <v>47</v>
      </c>
    </row>
    <row r="33" spans="1:13" x14ac:dyDescent="0.25">
      <c r="A33" s="17"/>
      <c r="E33" s="201"/>
      <c r="H33" s="8"/>
      <c r="J33" s="8"/>
    </row>
    <row r="34" spans="1:13" x14ac:dyDescent="0.25">
      <c r="A34" s="8"/>
      <c r="B34" s="20"/>
      <c r="E34" s="65"/>
      <c r="F34" s="65"/>
      <c r="G34" s="65"/>
      <c r="H34" s="8"/>
      <c r="I34" s="102"/>
      <c r="J34" s="8"/>
    </row>
    <row r="35" spans="1:13" x14ac:dyDescent="0.25">
      <c r="A35" s="8"/>
      <c r="E35" s="362">
        <f>SUM(E10:E32)</f>
        <v>151.25000000000003</v>
      </c>
      <c r="F35" s="65" t="s">
        <v>323</v>
      </c>
      <c r="G35" s="65"/>
      <c r="H35" s="8"/>
      <c r="I35" s="102"/>
      <c r="J35" s="8"/>
    </row>
    <row r="36" spans="1:13" x14ac:dyDescent="0.25">
      <c r="H36" s="8"/>
      <c r="I36" s="102"/>
      <c r="J36" s="8"/>
    </row>
    <row r="37" spans="1:13" ht="21" x14ac:dyDescent="0.35">
      <c r="A37" s="957" t="s">
        <v>327</v>
      </c>
      <c r="B37" s="958"/>
      <c r="C37" s="958"/>
      <c r="D37" s="958"/>
      <c r="E37" s="958"/>
      <c r="F37" s="958"/>
      <c r="G37" s="958"/>
      <c r="H37" s="958"/>
      <c r="I37" s="958"/>
      <c r="J37" s="958"/>
      <c r="K37" s="958"/>
    </row>
    <row r="38" spans="1:13" x14ac:dyDescent="0.25">
      <c r="B38" s="65" t="s">
        <v>355</v>
      </c>
      <c r="C38" s="65"/>
      <c r="D38" s="65"/>
      <c r="E38" s="65"/>
      <c r="F38" s="65">
        <v>1.3</v>
      </c>
      <c r="G38" s="65" t="s">
        <v>177</v>
      </c>
      <c r="H38" s="876" t="s">
        <v>793</v>
      </c>
      <c r="I38" s="83"/>
      <c r="J38" s="83"/>
      <c r="K38" s="3"/>
      <c r="L38" s="3"/>
      <c r="M38" s="3"/>
    </row>
    <row r="39" spans="1:13" x14ac:dyDescent="0.25">
      <c r="B39" s="65" t="s">
        <v>319</v>
      </c>
      <c r="C39" s="65"/>
      <c r="D39" s="65"/>
      <c r="E39" s="65"/>
      <c r="F39" s="151">
        <f>IF(Uitgangspunten!B30&lt;Warmte!F38,F38,Uitgangspunten!B30)</f>
        <v>6.8</v>
      </c>
      <c r="G39" s="65" t="s">
        <v>315</v>
      </c>
      <c r="H39" s="83"/>
      <c r="I39" s="83"/>
      <c r="J39" s="83"/>
      <c r="K39" s="3"/>
      <c r="L39" s="3"/>
      <c r="M39" s="3"/>
    </row>
    <row r="40" spans="1:13" x14ac:dyDescent="0.25">
      <c r="B40" s="65" t="s">
        <v>150</v>
      </c>
      <c r="F40" s="21">
        <f>+Uitgangspunten!B29</f>
        <v>4.4999999999999998E-2</v>
      </c>
      <c r="G40" t="s">
        <v>157</v>
      </c>
    </row>
    <row r="41" spans="1:13" x14ac:dyDescent="0.25">
      <c r="B41" s="65" t="s">
        <v>150</v>
      </c>
      <c r="F41" s="360">
        <f>+F40/3.6*10^9</f>
        <v>12499999.999999998</v>
      </c>
      <c r="G41" t="s">
        <v>322</v>
      </c>
    </row>
    <row r="42" spans="1:13" x14ac:dyDescent="0.25">
      <c r="J42" s="8"/>
      <c r="K42" s="8"/>
    </row>
    <row r="43" spans="1:13" x14ac:dyDescent="0.25">
      <c r="B43" s="208" t="s">
        <v>320</v>
      </c>
      <c r="C43" s="208"/>
      <c r="D43" s="208"/>
      <c r="E43" s="65"/>
      <c r="F43" s="65"/>
      <c r="G43" s="65"/>
      <c r="H43" s="65"/>
      <c r="I43" s="65"/>
      <c r="J43" s="102"/>
      <c r="K43" s="359"/>
    </row>
    <row r="44" spans="1:13" ht="30" x14ac:dyDescent="0.25">
      <c r="B44" s="356"/>
      <c r="C44" s="357" t="s">
        <v>337</v>
      </c>
      <c r="D44" s="225" t="s">
        <v>223</v>
      </c>
      <c r="E44" s="167" t="s">
        <v>272</v>
      </c>
      <c r="F44" s="65"/>
      <c r="G44" s="65"/>
      <c r="J44" s="8"/>
      <c r="K44" s="8"/>
    </row>
    <row r="45" spans="1:13" x14ac:dyDescent="0.25">
      <c r="B45" s="136">
        <v>2013</v>
      </c>
      <c r="C45" s="4">
        <v>0</v>
      </c>
      <c r="D45" s="4"/>
      <c r="E45" s="361">
        <f>+C45*F$41/10^6</f>
        <v>0</v>
      </c>
      <c r="F45" s="65"/>
      <c r="G45" s="65"/>
    </row>
    <row r="46" spans="1:13" x14ac:dyDescent="0.25">
      <c r="B46" s="136">
        <v>2014</v>
      </c>
      <c r="C46" s="355">
        <f t="shared" ref="C46:C51" si="4">+(C$52-C$45)/7+C45</f>
        <v>0.7857142857142857</v>
      </c>
      <c r="D46" s="165" t="s">
        <v>225</v>
      </c>
      <c r="E46" s="361">
        <f t="shared" ref="E46:E67" si="5">+C46*F$41/10^6</f>
        <v>9.8214285714285694</v>
      </c>
      <c r="F46" s="65"/>
      <c r="G46" s="65"/>
    </row>
    <row r="47" spans="1:13" x14ac:dyDescent="0.25">
      <c r="B47" s="136">
        <v>2015</v>
      </c>
      <c r="C47" s="355">
        <f t="shared" si="4"/>
        <v>1.5714285714285714</v>
      </c>
      <c r="D47" s="165" t="s">
        <v>225</v>
      </c>
      <c r="E47" s="361">
        <f>+C47*F$41/10^6</f>
        <v>19.642857142857139</v>
      </c>
      <c r="F47" s="65"/>
      <c r="G47" s="65"/>
    </row>
    <row r="48" spans="1:13" x14ac:dyDescent="0.25">
      <c r="B48" s="136">
        <v>2016</v>
      </c>
      <c r="C48" s="355">
        <f t="shared" si="4"/>
        <v>2.3571428571428572</v>
      </c>
      <c r="D48" s="165" t="s">
        <v>225</v>
      </c>
      <c r="E48" s="361">
        <f t="shared" si="5"/>
        <v>29.464285714285708</v>
      </c>
      <c r="F48" s="65"/>
      <c r="G48" s="65"/>
    </row>
    <row r="49" spans="1:7" x14ac:dyDescent="0.25">
      <c r="B49" s="136">
        <v>2017</v>
      </c>
      <c r="C49" s="355">
        <f t="shared" si="4"/>
        <v>3.1428571428571428</v>
      </c>
      <c r="D49" s="165" t="s">
        <v>225</v>
      </c>
      <c r="E49" s="361">
        <f t="shared" si="5"/>
        <v>39.285714285714278</v>
      </c>
      <c r="F49" s="65"/>
      <c r="G49" s="65"/>
    </row>
    <row r="50" spans="1:7" x14ac:dyDescent="0.25">
      <c r="B50" s="136">
        <v>2018</v>
      </c>
      <c r="C50" s="355">
        <f t="shared" si="4"/>
        <v>3.9285714285714284</v>
      </c>
      <c r="D50" s="165" t="s">
        <v>225</v>
      </c>
      <c r="E50" s="361">
        <f t="shared" si="5"/>
        <v>49.107142857142854</v>
      </c>
      <c r="F50" s="65"/>
      <c r="G50" s="65"/>
    </row>
    <row r="51" spans="1:7" x14ac:dyDescent="0.25">
      <c r="B51" s="136">
        <v>2019</v>
      </c>
      <c r="C51" s="355">
        <f t="shared" si="4"/>
        <v>4.7142857142857144</v>
      </c>
      <c r="D51" s="165" t="s">
        <v>225</v>
      </c>
      <c r="E51" s="361">
        <f t="shared" si="5"/>
        <v>58.928571428571416</v>
      </c>
      <c r="F51" s="65"/>
      <c r="G51" s="65"/>
    </row>
    <row r="52" spans="1:7" x14ac:dyDescent="0.25">
      <c r="B52" s="136">
        <v>2020</v>
      </c>
      <c r="C52" s="358">
        <f>+F39-F38</f>
        <v>5.5</v>
      </c>
      <c r="D52" s="160" t="s">
        <v>321</v>
      </c>
      <c r="E52" s="361">
        <f t="shared" si="5"/>
        <v>68.749999999999986</v>
      </c>
      <c r="F52" s="231">
        <f>SUM(E45:E52)</f>
        <v>274.99999999999994</v>
      </c>
      <c r="G52" s="208" t="s">
        <v>197</v>
      </c>
    </row>
    <row r="53" spans="1:7" x14ac:dyDescent="0.25">
      <c r="B53" s="136">
        <v>2021</v>
      </c>
      <c r="C53" s="355">
        <f t="shared" ref="C53:C60" si="6">+C52</f>
        <v>5.5</v>
      </c>
      <c r="D53" s="165" t="s">
        <v>324</v>
      </c>
      <c r="E53" s="361">
        <f>+C53*F$41/10^6</f>
        <v>68.749999999999986</v>
      </c>
    </row>
    <row r="54" spans="1:7" x14ac:dyDescent="0.25">
      <c r="B54" s="136">
        <v>2022</v>
      </c>
      <c r="C54" s="355">
        <f t="shared" si="6"/>
        <v>5.5</v>
      </c>
      <c r="D54" s="165" t="s">
        <v>324</v>
      </c>
      <c r="E54" s="361">
        <f>+C54*F$41/10^6</f>
        <v>68.749999999999986</v>
      </c>
      <c r="F54" s="65"/>
      <c r="G54" s="65"/>
    </row>
    <row r="55" spans="1:7" x14ac:dyDescent="0.25">
      <c r="B55" s="136">
        <v>2023</v>
      </c>
      <c r="C55" s="355">
        <f t="shared" si="6"/>
        <v>5.5</v>
      </c>
      <c r="D55" s="165" t="s">
        <v>324</v>
      </c>
      <c r="E55" s="361">
        <f t="shared" si="5"/>
        <v>68.749999999999986</v>
      </c>
      <c r="F55" s="65"/>
      <c r="G55" s="65"/>
    </row>
    <row r="56" spans="1:7" x14ac:dyDescent="0.25">
      <c r="B56" s="136">
        <v>2024</v>
      </c>
      <c r="C56" s="355">
        <f t="shared" si="6"/>
        <v>5.5</v>
      </c>
      <c r="D56" s="165" t="s">
        <v>324</v>
      </c>
      <c r="E56" s="361">
        <f t="shared" si="5"/>
        <v>68.749999999999986</v>
      </c>
      <c r="F56" s="65"/>
      <c r="G56" s="65"/>
    </row>
    <row r="57" spans="1:7" x14ac:dyDescent="0.25">
      <c r="B57" s="136">
        <v>2025</v>
      </c>
      <c r="C57" s="355">
        <f t="shared" si="6"/>
        <v>5.5</v>
      </c>
      <c r="D57" s="165" t="s">
        <v>324</v>
      </c>
      <c r="E57" s="361">
        <f t="shared" si="5"/>
        <v>68.749999999999986</v>
      </c>
      <c r="F57" s="223"/>
      <c r="G57" s="65"/>
    </row>
    <row r="58" spans="1:7" x14ac:dyDescent="0.25">
      <c r="B58" s="136">
        <v>2026</v>
      </c>
      <c r="C58" s="355">
        <f t="shared" si="6"/>
        <v>5.5</v>
      </c>
      <c r="D58" s="165" t="s">
        <v>324</v>
      </c>
      <c r="E58" s="361">
        <f t="shared" si="5"/>
        <v>68.749999999999986</v>
      </c>
      <c r="F58" s="65"/>
      <c r="G58" s="65"/>
    </row>
    <row r="59" spans="1:7" x14ac:dyDescent="0.25">
      <c r="A59" s="3"/>
      <c r="B59" s="136">
        <v>2027</v>
      </c>
      <c r="C59" s="355">
        <f t="shared" si="6"/>
        <v>5.5</v>
      </c>
      <c r="D59" s="165" t="s">
        <v>324</v>
      </c>
      <c r="E59" s="361">
        <f t="shared" si="5"/>
        <v>68.749999999999986</v>
      </c>
      <c r="F59" s="65"/>
      <c r="G59" s="65"/>
    </row>
    <row r="60" spans="1:7" x14ac:dyDescent="0.25">
      <c r="A60" s="3"/>
      <c r="B60" s="136">
        <v>2028</v>
      </c>
      <c r="C60" s="355">
        <f t="shared" si="6"/>
        <v>5.5</v>
      </c>
      <c r="D60" s="165" t="s">
        <v>324</v>
      </c>
      <c r="E60" s="361">
        <f t="shared" si="5"/>
        <v>68.749999999999986</v>
      </c>
      <c r="F60" s="65"/>
      <c r="G60" s="65"/>
    </row>
    <row r="61" spans="1:7" x14ac:dyDescent="0.25">
      <c r="A61" s="17"/>
      <c r="B61" s="136">
        <v>2029</v>
      </c>
      <c r="C61" s="355">
        <f t="shared" ref="C61:C67" si="7">+C60-(C$46-C$45)</f>
        <v>4.7142857142857144</v>
      </c>
      <c r="D61" s="165" t="s">
        <v>324</v>
      </c>
      <c r="E61" s="361">
        <f t="shared" si="5"/>
        <v>58.928571428571416</v>
      </c>
      <c r="F61" s="65"/>
      <c r="G61" s="65"/>
    </row>
    <row r="62" spans="1:7" ht="15.75" x14ac:dyDescent="0.25">
      <c r="A62" s="352"/>
      <c r="B62" s="136">
        <v>2030</v>
      </c>
      <c r="C62" s="355">
        <f t="shared" si="7"/>
        <v>3.9285714285714288</v>
      </c>
      <c r="D62" s="165" t="s">
        <v>324</v>
      </c>
      <c r="E62" s="361">
        <f t="shared" si="5"/>
        <v>49.107142857142854</v>
      </c>
      <c r="F62" s="65"/>
      <c r="G62" s="65"/>
    </row>
    <row r="63" spans="1:7" ht="15.75" x14ac:dyDescent="0.25">
      <c r="A63" s="353"/>
      <c r="B63" s="136">
        <v>2031</v>
      </c>
      <c r="C63" s="355">
        <f t="shared" si="7"/>
        <v>3.1428571428571432</v>
      </c>
      <c r="D63" s="165" t="s">
        <v>324</v>
      </c>
      <c r="E63" s="361">
        <f t="shared" si="5"/>
        <v>39.285714285714285</v>
      </c>
      <c r="F63" s="65"/>
      <c r="G63" s="65"/>
    </row>
    <row r="64" spans="1:7" ht="15.75" x14ac:dyDescent="0.25">
      <c r="A64" s="354"/>
      <c r="B64" s="136">
        <v>2032</v>
      </c>
      <c r="C64" s="355">
        <f t="shared" si="7"/>
        <v>2.3571428571428577</v>
      </c>
      <c r="D64" s="165" t="s">
        <v>324</v>
      </c>
      <c r="E64" s="361">
        <f t="shared" si="5"/>
        <v>29.464285714285715</v>
      </c>
      <c r="F64" s="65"/>
      <c r="G64" s="65"/>
    </row>
    <row r="65" spans="1:14" ht="15.75" x14ac:dyDescent="0.25">
      <c r="A65" s="352"/>
      <c r="B65" s="136">
        <v>2033</v>
      </c>
      <c r="C65" s="355">
        <f t="shared" si="7"/>
        <v>1.5714285714285721</v>
      </c>
      <c r="D65" s="165" t="s">
        <v>324</v>
      </c>
      <c r="E65" s="361">
        <f t="shared" si="5"/>
        <v>19.642857142857149</v>
      </c>
      <c r="F65" s="65"/>
      <c r="G65" s="65"/>
    </row>
    <row r="66" spans="1:14" x14ac:dyDescent="0.25">
      <c r="A66" s="17"/>
      <c r="B66" s="136">
        <v>2034</v>
      </c>
      <c r="C66" s="355">
        <f t="shared" si="7"/>
        <v>0.78571428571428636</v>
      </c>
      <c r="D66" s="165" t="s">
        <v>324</v>
      </c>
      <c r="E66" s="361">
        <f t="shared" si="5"/>
        <v>9.8214285714285783</v>
      </c>
      <c r="F66" s="65"/>
      <c r="G66" s="65"/>
    </row>
    <row r="67" spans="1:14" x14ac:dyDescent="0.25">
      <c r="A67" s="17"/>
      <c r="B67" s="136">
        <v>2035</v>
      </c>
      <c r="C67" s="355">
        <f t="shared" si="7"/>
        <v>0</v>
      </c>
      <c r="D67" s="165" t="s">
        <v>324</v>
      </c>
      <c r="E67" s="361">
        <f t="shared" si="5"/>
        <v>0</v>
      </c>
      <c r="F67" s="232">
        <f>SUM(E53:E67)</f>
        <v>756.24999999999989</v>
      </c>
      <c r="G67" s="208" t="s">
        <v>47</v>
      </c>
    </row>
    <row r="68" spans="1:14" x14ac:dyDescent="0.25">
      <c r="A68" s="17"/>
      <c r="E68" s="201"/>
      <c r="H68" s="8"/>
      <c r="J68" s="8"/>
    </row>
    <row r="69" spans="1:14" x14ac:dyDescent="0.25">
      <c r="A69" s="8"/>
      <c r="B69" s="20"/>
      <c r="E69" s="65"/>
      <c r="F69" s="65"/>
      <c r="G69" s="65"/>
      <c r="H69" s="8"/>
      <c r="I69" s="102"/>
      <c r="J69" s="8"/>
    </row>
    <row r="70" spans="1:14" x14ac:dyDescent="0.25">
      <c r="A70" s="8"/>
      <c r="E70" s="362">
        <f>SUM(E45:E67)</f>
        <v>1031.25</v>
      </c>
      <c r="F70" s="65" t="s">
        <v>328</v>
      </c>
      <c r="G70" s="65"/>
      <c r="H70" s="8"/>
      <c r="I70" s="102"/>
      <c r="J70" s="8"/>
    </row>
    <row r="73" spans="1:14" ht="21" x14ac:dyDescent="0.35">
      <c r="A73" s="957" t="s">
        <v>659</v>
      </c>
      <c r="B73" s="958"/>
      <c r="C73" s="958"/>
      <c r="D73" s="958"/>
      <c r="E73" s="958"/>
      <c r="F73" s="958"/>
      <c r="G73" s="958"/>
      <c r="H73" s="958"/>
      <c r="I73" s="958"/>
      <c r="J73" s="958"/>
      <c r="K73" s="958"/>
    </row>
    <row r="74" spans="1:14" x14ac:dyDescent="0.25">
      <c r="B74" t="s">
        <v>338</v>
      </c>
      <c r="C74" s="65"/>
      <c r="D74" s="65"/>
      <c r="E74" s="65"/>
      <c r="F74" s="65">
        <v>3.9</v>
      </c>
      <c r="G74" s="65" t="s">
        <v>177</v>
      </c>
      <c r="H74" s="876" t="s">
        <v>793</v>
      </c>
      <c r="I74" s="83"/>
      <c r="J74" s="65"/>
    </row>
    <row r="75" spans="1:14" x14ac:dyDescent="0.25">
      <c r="B75" t="s">
        <v>319</v>
      </c>
      <c r="C75" s="65"/>
      <c r="D75" s="65"/>
      <c r="E75" s="65"/>
      <c r="F75" s="151">
        <f>IF(Uitgangspunten!B33&lt;Warmte!F74,F74,Uitgangspunten!B33)</f>
        <v>11.9</v>
      </c>
      <c r="G75" s="65" t="s">
        <v>315</v>
      </c>
      <c r="H75" s="83"/>
      <c r="I75" s="83"/>
      <c r="J75" s="65"/>
    </row>
    <row r="76" spans="1:14" x14ac:dyDescent="0.25">
      <c r="B76" s="65" t="s">
        <v>150</v>
      </c>
      <c r="C76" s="65"/>
      <c r="D76" s="65"/>
      <c r="E76" s="65"/>
      <c r="F76" s="151">
        <f>+Uitgangspunten!B32</f>
        <v>0.01</v>
      </c>
      <c r="G76" s="65" t="s">
        <v>157</v>
      </c>
      <c r="H76" s="65"/>
      <c r="I76" s="65"/>
      <c r="J76" s="65"/>
    </row>
    <row r="77" spans="1:14" x14ac:dyDescent="0.25">
      <c r="B77" s="65" t="s">
        <v>150</v>
      </c>
      <c r="C77" s="65"/>
      <c r="D77" s="65"/>
      <c r="E77" s="65"/>
      <c r="F77" s="241">
        <f>+F76/3.6*10^9</f>
        <v>2777777.777777778</v>
      </c>
      <c r="G77" s="65" t="s">
        <v>322</v>
      </c>
      <c r="H77" s="65"/>
      <c r="I77" s="65"/>
      <c r="J77" s="65"/>
    </row>
    <row r="78" spans="1:14" x14ac:dyDescent="0.25">
      <c r="J78" s="8"/>
      <c r="K78" s="8"/>
      <c r="L78" s="8"/>
      <c r="M78" s="8"/>
      <c r="N78" s="8"/>
    </row>
    <row r="79" spans="1:14" x14ac:dyDescent="0.25">
      <c r="B79" s="208" t="s">
        <v>320</v>
      </c>
      <c r="C79" s="208"/>
      <c r="D79" s="208"/>
      <c r="E79" s="65"/>
      <c r="F79" s="65"/>
      <c r="G79" s="65"/>
      <c r="H79" s="65"/>
      <c r="I79" s="65"/>
      <c r="J79" s="102"/>
      <c r="K79" s="359"/>
      <c r="L79" s="359"/>
      <c r="M79" s="359"/>
      <c r="N79" s="8"/>
    </row>
    <row r="80" spans="1:14" ht="30" x14ac:dyDescent="0.25">
      <c r="B80" s="356"/>
      <c r="C80" s="357" t="s">
        <v>337</v>
      </c>
      <c r="D80" s="225" t="s">
        <v>223</v>
      </c>
      <c r="E80" s="167" t="s">
        <v>272</v>
      </c>
      <c r="F80" s="65"/>
      <c r="G80" s="65"/>
      <c r="J80" s="8"/>
      <c r="K80" s="8"/>
      <c r="L80" s="8"/>
      <c r="M80" s="8"/>
      <c r="N80" s="8"/>
    </row>
    <row r="81" spans="1:7" x14ac:dyDescent="0.25">
      <c r="B81" s="136">
        <v>2013</v>
      </c>
      <c r="C81" s="4">
        <v>0</v>
      </c>
      <c r="D81" s="4"/>
      <c r="E81" s="361">
        <f>+C81*F$77/10^6</f>
        <v>0</v>
      </c>
      <c r="F81" s="65"/>
      <c r="G81" s="65"/>
    </row>
    <row r="82" spans="1:7" x14ac:dyDescent="0.25">
      <c r="B82" s="136">
        <v>2014</v>
      </c>
      <c r="C82" s="355">
        <f t="shared" ref="C82:C87" si="8">+(C$88-C$81)/7+C81</f>
        <v>1.1428571428571428</v>
      </c>
      <c r="D82" s="165" t="s">
        <v>225</v>
      </c>
      <c r="E82" s="361">
        <f t="shared" ref="E82:E103" si="9">+C82*F$77/10^6</f>
        <v>3.1746031746031744</v>
      </c>
      <c r="F82" s="65"/>
      <c r="G82" s="65"/>
    </row>
    <row r="83" spans="1:7" x14ac:dyDescent="0.25">
      <c r="B83" s="136">
        <v>2015</v>
      </c>
      <c r="C83" s="355">
        <f t="shared" si="8"/>
        <v>2.2857142857142856</v>
      </c>
      <c r="D83" s="165" t="s">
        <v>225</v>
      </c>
      <c r="E83" s="361">
        <f t="shared" si="9"/>
        <v>6.3492063492063489</v>
      </c>
      <c r="F83" s="65"/>
      <c r="G83" s="65"/>
    </row>
    <row r="84" spans="1:7" x14ac:dyDescent="0.25">
      <c r="B84" s="136">
        <v>2016</v>
      </c>
      <c r="C84" s="355">
        <f t="shared" si="8"/>
        <v>3.4285714285714284</v>
      </c>
      <c r="D84" s="165" t="s">
        <v>225</v>
      </c>
      <c r="E84" s="361">
        <f t="shared" si="9"/>
        <v>9.5238095238095237</v>
      </c>
      <c r="F84" s="65"/>
      <c r="G84" s="65"/>
    </row>
    <row r="85" spans="1:7" x14ac:dyDescent="0.25">
      <c r="B85" s="136">
        <v>2017</v>
      </c>
      <c r="C85" s="355">
        <f t="shared" si="8"/>
        <v>4.5714285714285712</v>
      </c>
      <c r="D85" s="165" t="s">
        <v>225</v>
      </c>
      <c r="E85" s="361">
        <f t="shared" si="9"/>
        <v>12.698412698412698</v>
      </c>
      <c r="F85" s="65"/>
      <c r="G85" s="65"/>
    </row>
    <row r="86" spans="1:7" x14ac:dyDescent="0.25">
      <c r="B86" s="136">
        <v>2018</v>
      </c>
      <c r="C86" s="355">
        <f t="shared" si="8"/>
        <v>5.7142857142857135</v>
      </c>
      <c r="D86" s="165" t="s">
        <v>225</v>
      </c>
      <c r="E86" s="361">
        <f t="shared" si="9"/>
        <v>15.873015873015872</v>
      </c>
      <c r="F86" s="65"/>
      <c r="G86" s="65"/>
    </row>
    <row r="87" spans="1:7" x14ac:dyDescent="0.25">
      <c r="B87" s="136">
        <v>2019</v>
      </c>
      <c r="C87" s="355">
        <f t="shared" si="8"/>
        <v>6.8571428571428559</v>
      </c>
      <c r="D87" s="165" t="s">
        <v>225</v>
      </c>
      <c r="E87" s="361">
        <f t="shared" si="9"/>
        <v>19.047619047619044</v>
      </c>
      <c r="F87" s="65"/>
      <c r="G87" s="65"/>
    </row>
    <row r="88" spans="1:7" x14ac:dyDescent="0.25">
      <c r="B88" s="136">
        <v>2020</v>
      </c>
      <c r="C88" s="358">
        <f>+F75-F74</f>
        <v>8</v>
      </c>
      <c r="D88" s="160" t="s">
        <v>321</v>
      </c>
      <c r="E88" s="361">
        <f t="shared" si="9"/>
        <v>22.222222222222225</v>
      </c>
      <c r="F88" s="231">
        <f>SUM(E81:E88)</f>
        <v>88.888888888888886</v>
      </c>
      <c r="G88" s="208" t="s">
        <v>197</v>
      </c>
    </row>
    <row r="89" spans="1:7" x14ac:dyDescent="0.25">
      <c r="B89" s="136">
        <v>2021</v>
      </c>
      <c r="C89" s="355">
        <f t="shared" ref="C89:C96" si="10">+C88</f>
        <v>8</v>
      </c>
      <c r="D89" s="165" t="s">
        <v>324</v>
      </c>
      <c r="E89" s="361">
        <f t="shared" si="9"/>
        <v>22.222222222222225</v>
      </c>
    </row>
    <row r="90" spans="1:7" x14ac:dyDescent="0.25">
      <c r="B90" s="136">
        <v>2022</v>
      </c>
      <c r="C90" s="355">
        <f t="shared" si="10"/>
        <v>8</v>
      </c>
      <c r="D90" s="165" t="s">
        <v>324</v>
      </c>
      <c r="E90" s="361">
        <f t="shared" si="9"/>
        <v>22.222222222222225</v>
      </c>
      <c r="F90" s="65"/>
      <c r="G90" s="65"/>
    </row>
    <row r="91" spans="1:7" x14ac:dyDescent="0.25">
      <c r="B91" s="136">
        <v>2023</v>
      </c>
      <c r="C91" s="355">
        <f t="shared" si="10"/>
        <v>8</v>
      </c>
      <c r="D91" s="165" t="s">
        <v>324</v>
      </c>
      <c r="E91" s="361">
        <f t="shared" si="9"/>
        <v>22.222222222222225</v>
      </c>
      <c r="F91" s="65"/>
      <c r="G91" s="65"/>
    </row>
    <row r="92" spans="1:7" x14ac:dyDescent="0.25">
      <c r="B92" s="136">
        <v>2024</v>
      </c>
      <c r="C92" s="355">
        <f t="shared" si="10"/>
        <v>8</v>
      </c>
      <c r="D92" s="165" t="s">
        <v>324</v>
      </c>
      <c r="E92" s="361">
        <f t="shared" si="9"/>
        <v>22.222222222222225</v>
      </c>
      <c r="F92" s="65"/>
      <c r="G92" s="65"/>
    </row>
    <row r="93" spans="1:7" x14ac:dyDescent="0.25">
      <c r="B93" s="136">
        <v>2025</v>
      </c>
      <c r="C93" s="355">
        <f t="shared" si="10"/>
        <v>8</v>
      </c>
      <c r="D93" s="165" t="s">
        <v>324</v>
      </c>
      <c r="E93" s="361">
        <f t="shared" si="9"/>
        <v>22.222222222222225</v>
      </c>
      <c r="F93" s="223"/>
      <c r="G93" s="65"/>
    </row>
    <row r="94" spans="1:7" x14ac:dyDescent="0.25">
      <c r="B94" s="136">
        <v>2026</v>
      </c>
      <c r="C94" s="355">
        <f t="shared" si="10"/>
        <v>8</v>
      </c>
      <c r="D94" s="165" t="s">
        <v>324</v>
      </c>
      <c r="E94" s="361">
        <f t="shared" si="9"/>
        <v>22.222222222222225</v>
      </c>
      <c r="F94" s="65"/>
      <c r="G94" s="65"/>
    </row>
    <row r="95" spans="1:7" x14ac:dyDescent="0.25">
      <c r="A95" s="3"/>
      <c r="B95" s="136">
        <v>2027</v>
      </c>
      <c r="C95" s="355">
        <f t="shared" si="10"/>
        <v>8</v>
      </c>
      <c r="D95" s="165" t="s">
        <v>324</v>
      </c>
      <c r="E95" s="361">
        <f t="shared" si="9"/>
        <v>22.222222222222225</v>
      </c>
      <c r="F95" s="65"/>
      <c r="G95" s="65"/>
    </row>
    <row r="96" spans="1:7" x14ac:dyDescent="0.25">
      <c r="A96" s="3"/>
      <c r="B96" s="136">
        <v>2028</v>
      </c>
      <c r="C96" s="355">
        <f t="shared" si="10"/>
        <v>8</v>
      </c>
      <c r="D96" s="165" t="s">
        <v>324</v>
      </c>
      <c r="E96" s="361">
        <f t="shared" si="9"/>
        <v>22.222222222222225</v>
      </c>
      <c r="F96" s="65"/>
      <c r="G96" s="65"/>
    </row>
    <row r="97" spans="1:11" x14ac:dyDescent="0.25">
      <c r="A97" s="17"/>
      <c r="B97" s="136">
        <v>2029</v>
      </c>
      <c r="C97" s="355">
        <f t="shared" ref="C97:C103" si="11">+C96-C$82</f>
        <v>6.8571428571428577</v>
      </c>
      <c r="D97" s="165" t="s">
        <v>324</v>
      </c>
      <c r="E97" s="361">
        <f t="shared" si="9"/>
        <v>19.047619047619051</v>
      </c>
      <c r="F97" s="65"/>
      <c r="G97" s="65"/>
    </row>
    <row r="98" spans="1:11" ht="15.75" x14ac:dyDescent="0.25">
      <c r="A98" s="352"/>
      <c r="B98" s="136">
        <v>2030</v>
      </c>
      <c r="C98" s="355">
        <f t="shared" si="11"/>
        <v>5.7142857142857153</v>
      </c>
      <c r="D98" s="165" t="s">
        <v>324</v>
      </c>
      <c r="E98" s="361">
        <f t="shared" si="9"/>
        <v>15.873015873015877</v>
      </c>
      <c r="F98" s="65"/>
      <c r="G98" s="65"/>
    </row>
    <row r="99" spans="1:11" ht="15.75" x14ac:dyDescent="0.25">
      <c r="A99" s="353"/>
      <c r="B99" s="136">
        <v>2031</v>
      </c>
      <c r="C99" s="355">
        <f t="shared" si="11"/>
        <v>4.571428571428573</v>
      </c>
      <c r="D99" s="165" t="s">
        <v>324</v>
      </c>
      <c r="E99" s="361">
        <f t="shared" si="9"/>
        <v>12.698412698412703</v>
      </c>
      <c r="F99" s="65"/>
      <c r="G99" s="65"/>
    </row>
    <row r="100" spans="1:11" ht="15.75" x14ac:dyDescent="0.25">
      <c r="A100" s="354"/>
      <c r="B100" s="136">
        <v>2032</v>
      </c>
      <c r="C100" s="355">
        <f t="shared" si="11"/>
        <v>3.4285714285714302</v>
      </c>
      <c r="D100" s="165" t="s">
        <v>324</v>
      </c>
      <c r="E100" s="361">
        <f t="shared" si="9"/>
        <v>9.5238095238095291</v>
      </c>
      <c r="F100" s="65"/>
      <c r="G100" s="65"/>
    </row>
    <row r="101" spans="1:11" ht="15.75" x14ac:dyDescent="0.25">
      <c r="A101" s="352"/>
      <c r="B101" s="136">
        <v>2033</v>
      </c>
      <c r="C101" s="355">
        <f t="shared" si="11"/>
        <v>2.2857142857142874</v>
      </c>
      <c r="D101" s="165" t="s">
        <v>324</v>
      </c>
      <c r="E101" s="361">
        <f t="shared" si="9"/>
        <v>6.3492063492063542</v>
      </c>
      <c r="F101" s="65"/>
      <c r="G101" s="65"/>
    </row>
    <row r="102" spans="1:11" x14ac:dyDescent="0.25">
      <c r="A102" s="17"/>
      <c r="B102" s="136">
        <v>2034</v>
      </c>
      <c r="C102" s="355">
        <f t="shared" si="11"/>
        <v>1.1428571428571446</v>
      </c>
      <c r="D102" s="165" t="s">
        <v>324</v>
      </c>
      <c r="E102" s="361">
        <f t="shared" si="9"/>
        <v>3.1746031746031798</v>
      </c>
      <c r="F102" s="65"/>
      <c r="G102" s="65"/>
    </row>
    <row r="103" spans="1:11" x14ac:dyDescent="0.25">
      <c r="A103" s="17"/>
      <c r="B103" s="136">
        <v>2035</v>
      </c>
      <c r="C103" s="355">
        <f t="shared" si="11"/>
        <v>1.7763568394002505E-15</v>
      </c>
      <c r="D103" s="165" t="s">
        <v>324</v>
      </c>
      <c r="E103" s="361">
        <f t="shared" si="9"/>
        <v>4.9343245538895852E-15</v>
      </c>
      <c r="F103" s="232">
        <f>SUM(E89:E103)</f>
        <v>244.44444444444451</v>
      </c>
      <c r="G103" s="208" t="s">
        <v>47</v>
      </c>
    </row>
    <row r="104" spans="1:11" x14ac:dyDescent="0.25">
      <c r="A104" s="17"/>
      <c r="E104" s="201"/>
      <c r="H104" s="8"/>
      <c r="J104" s="8"/>
    </row>
    <row r="105" spans="1:11" x14ac:dyDescent="0.25">
      <c r="A105" s="8"/>
      <c r="B105" s="20"/>
      <c r="E105" s="65"/>
      <c r="F105" s="65"/>
      <c r="G105" s="65"/>
      <c r="H105" s="8"/>
      <c r="I105" s="102"/>
      <c r="J105" s="8"/>
    </row>
    <row r="106" spans="1:11" x14ac:dyDescent="0.25">
      <c r="A106" s="8"/>
      <c r="E106" s="362">
        <f>SUM(E81:E103)</f>
        <v>333.33333333333337</v>
      </c>
      <c r="F106" s="65" t="s">
        <v>635</v>
      </c>
      <c r="G106" s="65"/>
      <c r="H106" s="8"/>
      <c r="I106" s="102"/>
      <c r="J106" s="8"/>
    </row>
    <row r="109" spans="1:11" ht="21" x14ac:dyDescent="0.35">
      <c r="A109" s="957" t="s">
        <v>1173</v>
      </c>
      <c r="B109" s="958"/>
      <c r="C109" s="958"/>
      <c r="D109" s="958"/>
      <c r="E109" s="958"/>
      <c r="F109" s="958"/>
      <c r="G109" s="958"/>
      <c r="H109" s="958"/>
      <c r="I109" s="958"/>
      <c r="J109" s="958"/>
      <c r="K109" s="958"/>
    </row>
    <row r="111" spans="1:11" ht="15.75" x14ac:dyDescent="0.25">
      <c r="A111" s="63"/>
      <c r="B111" s="63"/>
      <c r="C111" s="1633" t="s">
        <v>1168</v>
      </c>
      <c r="D111" s="1634" t="s">
        <v>1167</v>
      </c>
      <c r="E111" s="63"/>
      <c r="F111" s="63"/>
    </row>
    <row r="112" spans="1:11" ht="15.75" x14ac:dyDescent="0.25">
      <c r="A112" s="63"/>
      <c r="B112" s="63"/>
      <c r="C112" s="1633" t="s">
        <v>1166</v>
      </c>
      <c r="D112" s="1633" t="s">
        <v>370</v>
      </c>
      <c r="E112" s="63"/>
      <c r="F112" s="63"/>
    </row>
    <row r="113" spans="1:8" ht="15.75" x14ac:dyDescent="0.25">
      <c r="A113" s="63"/>
      <c r="B113" s="299">
        <v>1998</v>
      </c>
      <c r="C113" s="1630">
        <v>174631</v>
      </c>
      <c r="D113" s="299">
        <f>C113*0.277777</f>
        <v>48508.475287000001</v>
      </c>
      <c r="E113" s="63"/>
      <c r="F113" s="63"/>
      <c r="G113" s="63"/>
      <c r="H113" s="63"/>
    </row>
    <row r="114" spans="1:8" ht="15.75" x14ac:dyDescent="0.25">
      <c r="A114" s="63"/>
      <c r="B114" s="299">
        <v>1999</v>
      </c>
      <c r="C114" s="1630">
        <v>164879</v>
      </c>
      <c r="D114" s="299">
        <f t="shared" ref="D114:D131" si="12">C114*0.277777</f>
        <v>45799.593982999999</v>
      </c>
      <c r="E114" s="63"/>
      <c r="F114" s="63"/>
      <c r="G114" s="63"/>
      <c r="H114" s="63"/>
    </row>
    <row r="115" spans="1:8" ht="15.75" x14ac:dyDescent="0.25">
      <c r="A115" s="63"/>
      <c r="B115" s="299">
        <v>2000</v>
      </c>
      <c r="C115" s="1630">
        <v>171704</v>
      </c>
      <c r="D115" s="299">
        <f t="shared" si="12"/>
        <v>47695.422008000001</v>
      </c>
      <c r="E115" s="63"/>
      <c r="F115" s="63"/>
      <c r="G115" s="63"/>
      <c r="H115" s="63"/>
    </row>
    <row r="116" spans="1:8" ht="15.75" x14ac:dyDescent="0.25">
      <c r="A116" s="63"/>
      <c r="B116" s="299">
        <v>2001</v>
      </c>
      <c r="C116" s="1630">
        <v>181671</v>
      </c>
      <c r="D116" s="299">
        <f t="shared" si="12"/>
        <v>50464.025367000002</v>
      </c>
      <c r="E116" s="63"/>
      <c r="F116" s="63"/>
      <c r="G116" s="63"/>
      <c r="H116" s="63"/>
    </row>
    <row r="117" spans="1:8" ht="15.75" x14ac:dyDescent="0.25">
      <c r="A117" s="63"/>
      <c r="B117" s="299">
        <v>2002</v>
      </c>
      <c r="C117" s="1630">
        <v>179106</v>
      </c>
      <c r="D117" s="299">
        <f t="shared" si="12"/>
        <v>49751.527362000001</v>
      </c>
      <c r="E117" s="63"/>
      <c r="F117" s="63"/>
      <c r="G117" s="63"/>
      <c r="H117" s="63"/>
    </row>
    <row r="118" spans="1:8" ht="15.75" x14ac:dyDescent="0.25">
      <c r="A118" s="131"/>
      <c r="B118" s="299">
        <v>2003</v>
      </c>
      <c r="C118" s="1630">
        <v>177287</v>
      </c>
      <c r="D118" s="299">
        <f t="shared" si="12"/>
        <v>49246.250998999996</v>
      </c>
      <c r="E118" s="131"/>
      <c r="F118" s="367"/>
      <c r="G118" s="131"/>
      <c r="H118" s="63"/>
    </row>
    <row r="119" spans="1:8" ht="15.75" x14ac:dyDescent="0.25">
      <c r="A119" s="1635"/>
      <c r="B119" s="299">
        <v>2004</v>
      </c>
      <c r="C119" s="1630">
        <v>194190</v>
      </c>
      <c r="D119" s="299">
        <f t="shared" si="12"/>
        <v>53941.515630000002</v>
      </c>
      <c r="E119" s="131"/>
      <c r="F119" s="131"/>
      <c r="G119" s="131"/>
      <c r="H119" s="63"/>
    </row>
    <row r="120" spans="1:8" ht="15.75" x14ac:dyDescent="0.25">
      <c r="A120" s="131"/>
      <c r="B120" s="299">
        <v>2005</v>
      </c>
      <c r="C120" s="1630">
        <v>200208</v>
      </c>
      <c r="D120" s="299">
        <f t="shared" si="12"/>
        <v>55613.177616000001</v>
      </c>
      <c r="E120" s="131"/>
      <c r="F120" s="367"/>
      <c r="G120" s="131"/>
      <c r="H120" s="63"/>
    </row>
    <row r="121" spans="1:8" ht="15.75" x14ac:dyDescent="0.25">
      <c r="A121" s="131"/>
      <c r="B121" s="299">
        <v>2006</v>
      </c>
      <c r="C121" s="1630">
        <v>200700</v>
      </c>
      <c r="D121" s="299">
        <f t="shared" si="12"/>
        <v>55749.8439</v>
      </c>
      <c r="E121" s="131"/>
      <c r="F121" s="367"/>
      <c r="G121" s="131"/>
      <c r="H121" s="63"/>
    </row>
    <row r="122" spans="1:8" ht="15.75" x14ac:dyDescent="0.25">
      <c r="A122" s="131"/>
      <c r="B122" s="299">
        <v>2007</v>
      </c>
      <c r="C122" s="1630">
        <v>209903</v>
      </c>
      <c r="D122" s="299">
        <f t="shared" si="12"/>
        <v>58306.225631000001</v>
      </c>
      <c r="E122" s="131"/>
      <c r="F122" s="367"/>
      <c r="G122" s="131"/>
      <c r="H122" s="63"/>
    </row>
    <row r="123" spans="1:8" ht="15.75" x14ac:dyDescent="0.25">
      <c r="A123" s="131"/>
      <c r="B123" s="299">
        <v>2008</v>
      </c>
      <c r="C123" s="1630">
        <v>221017</v>
      </c>
      <c r="D123" s="299">
        <f t="shared" si="12"/>
        <v>61393.439208999996</v>
      </c>
      <c r="E123" s="131"/>
      <c r="F123" s="367"/>
      <c r="G123" s="131"/>
      <c r="H123" s="63"/>
    </row>
    <row r="124" spans="1:8" ht="15.75" x14ac:dyDescent="0.25">
      <c r="A124" s="131"/>
      <c r="B124" s="299">
        <v>2009</v>
      </c>
      <c r="C124" s="1630">
        <v>228311</v>
      </c>
      <c r="D124" s="299">
        <f t="shared" si="12"/>
        <v>63419.544647000002</v>
      </c>
      <c r="E124" s="131"/>
      <c r="F124" s="367"/>
      <c r="G124" s="131"/>
      <c r="H124" s="63"/>
    </row>
    <row r="125" spans="1:8" ht="15.75" x14ac:dyDescent="0.25">
      <c r="A125" s="131"/>
      <c r="B125" s="299">
        <v>2010</v>
      </c>
      <c r="C125" s="1630">
        <v>222315</v>
      </c>
      <c r="D125" s="299">
        <f t="shared" si="12"/>
        <v>61753.993754999996</v>
      </c>
      <c r="E125" s="131"/>
      <c r="F125" s="367"/>
      <c r="G125" s="131"/>
      <c r="H125" s="63"/>
    </row>
    <row r="126" spans="1:8" ht="15.75" x14ac:dyDescent="0.25">
      <c r="A126" s="54"/>
      <c r="B126" s="299">
        <v>2011</v>
      </c>
      <c r="C126" s="1630">
        <v>210895</v>
      </c>
      <c r="D126" s="299">
        <f t="shared" si="12"/>
        <v>58581.780415000001</v>
      </c>
      <c r="E126" s="131"/>
      <c r="F126" s="54"/>
      <c r="G126" s="54"/>
      <c r="H126" s="63"/>
    </row>
    <row r="127" spans="1:8" ht="15.75" x14ac:dyDescent="0.25">
      <c r="A127" s="54"/>
      <c r="B127" s="299">
        <v>2012</v>
      </c>
      <c r="C127" s="1630">
        <v>191196</v>
      </c>
      <c r="D127" s="299">
        <f t="shared" si="12"/>
        <v>53109.851291999999</v>
      </c>
      <c r="E127" s="54"/>
      <c r="F127" s="54"/>
      <c r="G127" s="54"/>
      <c r="H127" s="63"/>
    </row>
    <row r="128" spans="1:8" ht="15.75" x14ac:dyDescent="0.25">
      <c r="A128" s="54"/>
      <c r="B128" s="299">
        <v>2013</v>
      </c>
      <c r="C128" s="1630">
        <v>180390</v>
      </c>
      <c r="D128" s="299">
        <f t="shared" si="12"/>
        <v>50108.193030000002</v>
      </c>
      <c r="E128" s="54"/>
      <c r="F128" s="54"/>
      <c r="G128" s="54"/>
      <c r="H128" s="63"/>
    </row>
    <row r="129" spans="1:8" ht="15.75" x14ac:dyDescent="0.25">
      <c r="A129" s="63"/>
      <c r="B129" s="299">
        <v>2014</v>
      </c>
      <c r="C129" s="1630">
        <v>171020</v>
      </c>
      <c r="D129" s="299">
        <f t="shared" si="12"/>
        <v>47505.42254</v>
      </c>
      <c r="E129" s="63"/>
      <c r="F129" s="63"/>
      <c r="G129" s="63"/>
      <c r="H129" s="63"/>
    </row>
    <row r="130" spans="1:8" ht="15.75" x14ac:dyDescent="0.25">
      <c r="A130" s="63"/>
      <c r="B130" s="299">
        <v>2015</v>
      </c>
      <c r="C130" s="1630">
        <v>158218</v>
      </c>
      <c r="D130" s="299">
        <f t="shared" si="12"/>
        <v>43949.321385999996</v>
      </c>
      <c r="E130" s="63"/>
      <c r="F130" s="63"/>
      <c r="G130" s="63"/>
      <c r="H130" s="63"/>
    </row>
    <row r="131" spans="1:8" ht="15.75" x14ac:dyDescent="0.25">
      <c r="A131" s="63"/>
      <c r="B131" s="299">
        <v>2016</v>
      </c>
      <c r="C131" s="1631">
        <f>C130*0.97</f>
        <v>153471.46</v>
      </c>
      <c r="D131" s="299">
        <f t="shared" si="12"/>
        <v>42630.841744419995</v>
      </c>
      <c r="E131" s="63"/>
      <c r="F131" s="63"/>
      <c r="G131" s="63"/>
      <c r="H131" s="63"/>
    </row>
    <row r="132" spans="1:8" ht="15.75" x14ac:dyDescent="0.25">
      <c r="A132" s="63"/>
      <c r="B132" s="299"/>
      <c r="C132" s="299"/>
      <c r="D132" s="299"/>
      <c r="E132" s="63"/>
      <c r="F132" s="63"/>
      <c r="G132" s="63"/>
      <c r="H132" s="63"/>
    </row>
    <row r="133" spans="1:8" ht="15.75" x14ac:dyDescent="0.25">
      <c r="A133" s="63"/>
      <c r="B133" s="299"/>
      <c r="C133" s="299"/>
      <c r="D133" s="63">
        <v>118391</v>
      </c>
      <c r="E133" s="63" t="s">
        <v>1169</v>
      </c>
      <c r="F133" s="63"/>
      <c r="G133" s="1632" t="s">
        <v>1172</v>
      </c>
    </row>
    <row r="134" spans="1:8" ht="15.75" x14ac:dyDescent="0.25">
      <c r="A134" s="63"/>
      <c r="B134" s="63"/>
      <c r="C134" s="63"/>
      <c r="D134" s="1636">
        <f>D124/D133</f>
        <v>0.53567876483009691</v>
      </c>
      <c r="E134" s="63" t="s">
        <v>1170</v>
      </c>
      <c r="F134" s="63"/>
    </row>
    <row r="135" spans="1:8" ht="15.75" x14ac:dyDescent="0.25">
      <c r="A135" s="63"/>
      <c r="B135" s="63"/>
      <c r="C135" s="63"/>
    </row>
    <row r="136" spans="1:8" ht="15.75" x14ac:dyDescent="0.25">
      <c r="A136" s="63"/>
      <c r="B136" s="63"/>
      <c r="C136" s="63"/>
      <c r="D136" s="299">
        <v>115000</v>
      </c>
      <c r="E136" s="63" t="s">
        <v>1181</v>
      </c>
      <c r="F136" s="63"/>
    </row>
    <row r="137" spans="1:8" ht="15.75" x14ac:dyDescent="0.25">
      <c r="A137" s="63"/>
      <c r="B137" s="63"/>
      <c r="C137" s="63"/>
      <c r="D137" s="1636">
        <f>D131/D136</f>
        <v>0.37070297169060867</v>
      </c>
      <c r="E137" s="63" t="s">
        <v>1171</v>
      </c>
      <c r="F137" s="63"/>
    </row>
    <row r="139" spans="1:8" ht="15.75" x14ac:dyDescent="0.25">
      <c r="D139" s="627">
        <f>D124*15/56</f>
        <v>16987.378030446427</v>
      </c>
      <c r="E139" s="63" t="s">
        <v>1174</v>
      </c>
    </row>
    <row r="140" spans="1:8" ht="15.75" x14ac:dyDescent="0.25">
      <c r="D140" s="627">
        <f>D124-D139</f>
        <v>46432.166616553572</v>
      </c>
      <c r="E140" s="63" t="s">
        <v>1176</v>
      </c>
    </row>
    <row r="141" spans="1:8" ht="15.75" x14ac:dyDescent="0.25">
      <c r="D141">
        <v>0.71</v>
      </c>
      <c r="E141" s="63" t="s">
        <v>1175</v>
      </c>
    </row>
    <row r="142" spans="1:8" ht="15.75" x14ac:dyDescent="0.25">
      <c r="D142" s="627">
        <f>D140*D141</f>
        <v>32966.838297753035</v>
      </c>
      <c r="E142" s="63" t="s">
        <v>1177</v>
      </c>
    </row>
    <row r="143" spans="1:8" ht="15.75" x14ac:dyDescent="0.25">
      <c r="D143" s="627">
        <v>14605.640194444448</v>
      </c>
      <c r="E143" s="63" t="s">
        <v>1178</v>
      </c>
    </row>
    <row r="144" spans="1:8" ht="15.75" x14ac:dyDescent="0.25">
      <c r="D144" s="627">
        <v>17011.738000000001</v>
      </c>
      <c r="E144" s="63" t="s">
        <v>1179</v>
      </c>
    </row>
    <row r="145" spans="4:5" ht="15.75" x14ac:dyDescent="0.25">
      <c r="D145" s="627">
        <f>D143+D144</f>
        <v>31617.378194444449</v>
      </c>
      <c r="E145" s="63" t="s">
        <v>1180</v>
      </c>
    </row>
  </sheetData>
  <hyperlinks>
    <hyperlink ref="D111" r:id="rId1"/>
    <hyperlink ref="G133" r:id="rId2"/>
  </hyperlinks>
  <pageMargins left="0.7" right="0.7" top="0.75" bottom="0.75" header="0.3" footer="0.3"/>
  <pageSetup paperSize="9" orientation="portrait" horizontalDpi="4294967293" verticalDpi="4294967293"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4"/>
  <sheetViews>
    <sheetView zoomScale="80" zoomScaleNormal="80" workbookViewId="0">
      <selection activeCell="E70" sqref="E70"/>
    </sheetView>
  </sheetViews>
  <sheetFormatPr defaultColWidth="9.140625" defaultRowHeight="15" x14ac:dyDescent="0.25"/>
  <cols>
    <col min="1" max="1" width="9.140625" style="65"/>
    <col min="2" max="2" width="23" style="65" customWidth="1"/>
    <col min="3" max="3" width="15.28515625" style="65" customWidth="1"/>
    <col min="4" max="4" width="14.28515625" style="65" customWidth="1"/>
    <col min="5" max="5" width="13.140625" style="65" customWidth="1"/>
    <col min="6" max="6" width="12.85546875" style="65" customWidth="1"/>
    <col min="7" max="7" width="12.140625" style="65" customWidth="1"/>
    <col min="8" max="8" width="13.85546875" style="65" customWidth="1"/>
    <col min="9" max="9" width="13.42578125" style="65" customWidth="1"/>
    <col min="10" max="10" width="11.5703125" style="65" customWidth="1"/>
    <col min="11" max="11" width="15.28515625" style="65" customWidth="1"/>
    <col min="12" max="12" width="13.28515625" style="65" customWidth="1"/>
    <col min="13" max="14" width="12.42578125" style="65" customWidth="1"/>
    <col min="15" max="15" width="11.85546875" style="65" customWidth="1"/>
    <col min="16" max="16384" width="9.140625" style="65"/>
  </cols>
  <sheetData>
    <row r="1" spans="1:11" ht="21" x14ac:dyDescent="0.35">
      <c r="A1" s="196" t="s">
        <v>528</v>
      </c>
      <c r="B1" s="196"/>
      <c r="C1" s="196"/>
      <c r="D1" s="196"/>
      <c r="E1" s="196"/>
      <c r="F1" s="196"/>
      <c r="G1" s="196"/>
      <c r="H1" s="196"/>
      <c r="I1" s="196"/>
      <c r="J1" s="196"/>
      <c r="K1" s="196"/>
    </row>
    <row r="2" spans="1:11" ht="15.75" x14ac:dyDescent="0.25">
      <c r="A2" s="957" t="s">
        <v>770</v>
      </c>
      <c r="B2" s="957"/>
      <c r="C2" s="957"/>
      <c r="D2" s="957"/>
      <c r="E2" s="957"/>
      <c r="F2" s="957"/>
      <c r="G2" s="957"/>
      <c r="H2" s="957"/>
      <c r="I2" s="957"/>
      <c r="J2" s="957"/>
      <c r="K2" s="957"/>
    </row>
    <row r="3" spans="1:11" ht="15.75" x14ac:dyDescent="0.25">
      <c r="A3" s="233"/>
      <c r="B3" s="1400" t="s">
        <v>917</v>
      </c>
      <c r="C3" s="233"/>
      <c r="D3" s="233"/>
      <c r="E3" s="233"/>
      <c r="F3" s="233"/>
      <c r="G3" s="233"/>
      <c r="H3" s="233"/>
      <c r="I3" s="233"/>
      <c r="J3" s="233"/>
      <c r="K3" s="233"/>
    </row>
    <row r="4" spans="1:11" ht="15.75" x14ac:dyDescent="0.25">
      <c r="A4" s="233"/>
      <c r="B4" s="1400" t="s">
        <v>918</v>
      </c>
      <c r="C4" s="233"/>
      <c r="D4" s="233"/>
      <c r="E4" s="233"/>
      <c r="F4" s="233"/>
      <c r="G4" s="233"/>
      <c r="H4" s="233"/>
      <c r="I4" s="233"/>
      <c r="J4" s="233"/>
      <c r="K4" s="233"/>
    </row>
    <row r="5" spans="1:11" ht="15.75" x14ac:dyDescent="0.25">
      <c r="A5" s="233"/>
      <c r="C5" s="233"/>
      <c r="D5" s="233"/>
      <c r="E5" s="233"/>
      <c r="F5" s="233"/>
      <c r="G5" s="233"/>
      <c r="H5" s="233"/>
      <c r="I5" s="233"/>
      <c r="J5" s="233"/>
      <c r="K5" s="233"/>
    </row>
    <row r="6" spans="1:11" s="83" customFormat="1" ht="15.75" x14ac:dyDescent="0.25">
      <c r="A6" s="233"/>
      <c r="B6" s="233" t="s">
        <v>190</v>
      </c>
      <c r="C6" s="233"/>
      <c r="D6" s="233"/>
      <c r="E6" s="233"/>
      <c r="F6" s="233"/>
      <c r="G6" s="233"/>
      <c r="H6" s="233"/>
      <c r="I6" s="233"/>
      <c r="J6" s="233"/>
      <c r="K6" s="233"/>
    </row>
    <row r="7" spans="1:11" s="83" customFormat="1" ht="15.75" x14ac:dyDescent="0.25">
      <c r="B7" s="1400" t="s">
        <v>816</v>
      </c>
      <c r="C7" s="233"/>
      <c r="D7" s="233"/>
      <c r="E7" s="971"/>
      <c r="I7" s="233"/>
      <c r="J7" s="233"/>
      <c r="K7" s="233"/>
    </row>
    <row r="8" spans="1:11" s="83" customFormat="1" ht="15.75" x14ac:dyDescent="0.25">
      <c r="B8" s="1401" t="s">
        <v>668</v>
      </c>
      <c r="I8" s="233"/>
      <c r="J8" s="233"/>
      <c r="K8" s="233"/>
    </row>
    <row r="9" spans="1:11" s="83" customFormat="1" ht="15.75" x14ac:dyDescent="0.25">
      <c r="C9" s="65"/>
      <c r="H9" s="65"/>
      <c r="I9" s="65"/>
      <c r="J9" s="65"/>
      <c r="K9" s="233"/>
    </row>
    <row r="10" spans="1:11" s="131" customFormat="1" ht="15.75" x14ac:dyDescent="0.25">
      <c r="B10" s="208" t="s">
        <v>181</v>
      </c>
      <c r="C10" s="65"/>
      <c r="D10" s="65"/>
      <c r="E10" s="65"/>
      <c r="F10" s="65"/>
      <c r="G10" s="233"/>
      <c r="H10" s="233"/>
      <c r="I10" s="233"/>
      <c r="J10" s="233"/>
      <c r="K10" s="233"/>
    </row>
    <row r="11" spans="1:11" s="131" customFormat="1" ht="15.75" x14ac:dyDescent="0.25">
      <c r="B11" s="1399" t="str">
        <f>+Uitgangspunten!A35</f>
        <v>Basisbedrag SDE+ voor elektriciteit uit biomassa - gemiddeld over 2015-2020 - SDE+ tarief voor al toegekende projecten is opgenomen in tabblad 'Biomassa'</v>
      </c>
      <c r="C11" s="65"/>
      <c r="H11" s="205">
        <f>+Uitgangspunten!B35</f>
        <v>0.1</v>
      </c>
      <c r="I11" s="203" t="s">
        <v>277</v>
      </c>
    </row>
    <row r="12" spans="1:11" s="131" customFormat="1" ht="15.75" x14ac:dyDescent="0.25">
      <c r="B12" s="1399" t="str">
        <f>+Uitgangspunten!A36</f>
        <v>Correctiebedrag elektriciteit (opbrengst productie grijze stroom) - gemiddeld over 2013-2020</v>
      </c>
      <c r="C12" s="65"/>
      <c r="H12" s="205">
        <f>+Uitgangspunten!B36</f>
        <v>3.7999999999999999E-2</v>
      </c>
      <c r="I12" s="203" t="s">
        <v>277</v>
      </c>
    </row>
    <row r="13" spans="1:11" s="131" customFormat="1" ht="15.75" x14ac:dyDescent="0.25">
      <c r="B13" s="1399" t="s">
        <v>975</v>
      </c>
      <c r="C13" s="65"/>
      <c r="D13" s="65"/>
      <c r="E13" s="65"/>
      <c r="H13" s="151">
        <f>IF(Uitgangspunten!B37&lt;25,25,Uitgangspunten!B37)</f>
        <v>39.1</v>
      </c>
      <c r="I13" s="65" t="s">
        <v>315</v>
      </c>
    </row>
    <row r="14" spans="1:11" s="131" customFormat="1" ht="15.75" x14ac:dyDescent="0.25">
      <c r="B14" s="83"/>
      <c r="C14" s="83"/>
      <c r="D14" s="83"/>
      <c r="E14" s="83"/>
      <c r="G14" s="125"/>
      <c r="H14" s="83"/>
      <c r="I14" s="233"/>
      <c r="J14" s="233"/>
      <c r="K14" s="233"/>
    </row>
    <row r="15" spans="1:11" s="131" customFormat="1" ht="15.75" x14ac:dyDescent="0.25">
      <c r="B15" s="136" t="s">
        <v>888</v>
      </c>
      <c r="C15" s="136"/>
      <c r="D15" s="136">
        <v>2013</v>
      </c>
      <c r="E15" s="136">
        <v>2014</v>
      </c>
      <c r="F15" s="136" t="s">
        <v>922</v>
      </c>
      <c r="G15" s="65"/>
      <c r="H15" s="65"/>
      <c r="I15" s="65"/>
      <c r="J15" s="233"/>
      <c r="K15" s="233"/>
    </row>
    <row r="16" spans="1:11" s="131" customFormat="1" ht="45" x14ac:dyDescent="0.25">
      <c r="B16" s="165" t="s">
        <v>934</v>
      </c>
      <c r="C16" s="102"/>
      <c r="D16" s="136"/>
      <c r="E16" s="136"/>
      <c r="F16" s="1192">
        <f>+(0.108+0.115)/2</f>
        <v>0.1115</v>
      </c>
      <c r="G16" s="65"/>
      <c r="H16" s="65"/>
      <c r="I16" s="65"/>
      <c r="J16" s="233"/>
      <c r="K16" s="233"/>
    </row>
    <row r="17" spans="2:17" s="131" customFormat="1" ht="15.75" x14ac:dyDescent="0.25">
      <c r="B17" s="165" t="s">
        <v>920</v>
      </c>
      <c r="C17" s="102"/>
      <c r="D17" s="136"/>
      <c r="E17" s="136"/>
      <c r="F17" s="1192">
        <v>8</v>
      </c>
      <c r="G17" s="65"/>
      <c r="H17" s="65"/>
      <c r="I17" s="65"/>
      <c r="J17" s="233"/>
      <c r="K17" s="233"/>
    </row>
    <row r="18" spans="2:17" s="131" customFormat="1" ht="15.75" x14ac:dyDescent="0.25">
      <c r="B18" s="1110"/>
      <c r="C18" s="65"/>
      <c r="D18" s="65"/>
      <c r="E18" s="65"/>
      <c r="F18" s="65"/>
      <c r="G18" s="65"/>
      <c r="H18" s="65"/>
      <c r="I18" s="65"/>
      <c r="J18" s="233"/>
      <c r="K18" s="233"/>
    </row>
    <row r="19" spans="2:17" x14ac:dyDescent="0.25">
      <c r="I19" s="125"/>
      <c r="J19" s="125"/>
      <c r="K19" s="125"/>
    </row>
    <row r="20" spans="2:17" ht="103.5" customHeight="1" x14ac:dyDescent="0.25">
      <c r="B20" s="171"/>
      <c r="C20" s="171" t="s">
        <v>905</v>
      </c>
      <c r="D20" s="171" t="s">
        <v>906</v>
      </c>
      <c r="E20" s="171" t="s">
        <v>907</v>
      </c>
      <c r="F20" s="171" t="s">
        <v>909</v>
      </c>
      <c r="G20" s="962" t="s">
        <v>977</v>
      </c>
      <c r="I20" s="171" t="s">
        <v>1073</v>
      </c>
      <c r="J20" s="171" t="s">
        <v>1072</v>
      </c>
      <c r="K20" s="167" t="s">
        <v>274</v>
      </c>
      <c r="L20" s="171" t="s">
        <v>1074</v>
      </c>
      <c r="M20" s="136"/>
      <c r="N20" s="167" t="s">
        <v>274</v>
      </c>
      <c r="O20" s="167" t="s">
        <v>1075</v>
      </c>
      <c r="Q20" s="141"/>
    </row>
    <row r="21" spans="2:17" x14ac:dyDescent="0.25">
      <c r="B21" s="764">
        <v>2010</v>
      </c>
      <c r="C21" s="136">
        <v>3.2370000000000001</v>
      </c>
      <c r="D21" s="136">
        <v>1.7629999999999999</v>
      </c>
      <c r="E21" s="764" t="s">
        <v>908</v>
      </c>
      <c r="F21" s="136"/>
      <c r="G21" s="136">
        <f t="shared" ref="G21:G26" si="0">+F21*3.6</f>
        <v>0</v>
      </c>
      <c r="I21" s="225"/>
      <c r="J21" s="225"/>
      <c r="K21" s="225"/>
      <c r="L21" s="225"/>
      <c r="M21" s="136"/>
      <c r="N21" s="225"/>
      <c r="O21" s="225"/>
      <c r="P21" s="876"/>
      <c r="Q21" s="83"/>
    </row>
    <row r="22" spans="2:17" x14ac:dyDescent="0.25">
      <c r="B22" s="764">
        <v>2011</v>
      </c>
      <c r="C22" s="136">
        <v>3.1819999999999999</v>
      </c>
      <c r="D22" s="136">
        <v>2.0339999999999998</v>
      </c>
      <c r="E22" s="764" t="s">
        <v>908</v>
      </c>
      <c r="F22" s="136"/>
      <c r="G22" s="213">
        <f t="shared" si="0"/>
        <v>0</v>
      </c>
      <c r="I22" s="225"/>
      <c r="J22" s="225"/>
      <c r="K22" s="225"/>
      <c r="L22" s="225"/>
      <c r="M22" s="136"/>
      <c r="N22" s="225"/>
      <c r="O22" s="225"/>
      <c r="P22" s="876"/>
      <c r="Q22" s="83"/>
    </row>
    <row r="23" spans="2:17" x14ac:dyDescent="0.25">
      <c r="B23" s="136">
        <v>2012</v>
      </c>
      <c r="C23" s="136">
        <v>2.9529999999999998</v>
      </c>
      <c r="D23" s="136">
        <v>2.2349999999999999</v>
      </c>
      <c r="E23" s="136">
        <f>4.139-D23</f>
        <v>1.9040000000000004</v>
      </c>
      <c r="F23" s="1193">
        <v>7.2030000000000003</v>
      </c>
      <c r="G23" s="213">
        <f t="shared" si="0"/>
        <v>25.930800000000001</v>
      </c>
      <c r="I23" s="225"/>
      <c r="J23" s="225"/>
      <c r="K23" s="225"/>
      <c r="L23" s="225"/>
      <c r="M23" s="136"/>
      <c r="N23" s="225"/>
      <c r="O23" s="225"/>
      <c r="P23" s="195"/>
    </row>
    <row r="24" spans="2:17" ht="66" customHeight="1" x14ac:dyDescent="0.25">
      <c r="B24" s="136">
        <v>2013</v>
      </c>
      <c r="C24" s="136">
        <v>1.6990000000000001</v>
      </c>
      <c r="D24" s="136">
        <v>2.1349999999999998</v>
      </c>
      <c r="E24" s="1194">
        <f>+F24-D24-C24</f>
        <v>1.4430000000000003</v>
      </c>
      <c r="F24" s="1193">
        <v>5.2770000000000001</v>
      </c>
      <c r="G24" s="213">
        <f t="shared" si="0"/>
        <v>18.997199999999999</v>
      </c>
      <c r="I24" s="225"/>
      <c r="J24" s="225"/>
      <c r="K24" s="225"/>
      <c r="L24" s="225"/>
      <c r="M24" s="136"/>
      <c r="N24" s="225"/>
      <c r="O24" s="225"/>
      <c r="P24" s="195"/>
    </row>
    <row r="25" spans="2:17" x14ac:dyDescent="0.25">
      <c r="B25" s="136">
        <v>2014</v>
      </c>
      <c r="C25" s="1195" t="s">
        <v>978</v>
      </c>
      <c r="D25" s="136">
        <v>1.909</v>
      </c>
      <c r="E25" s="136"/>
      <c r="F25" s="1193">
        <v>4.3449999999999998</v>
      </c>
      <c r="G25" s="213">
        <f t="shared" si="0"/>
        <v>15.641999999999999</v>
      </c>
      <c r="I25" s="136"/>
      <c r="J25" s="136"/>
      <c r="K25" s="1166"/>
      <c r="L25" s="234">
        <v>0</v>
      </c>
      <c r="M25" s="136"/>
      <c r="N25" s="1166">
        <f t="shared" ref="N25:N46" si="1">+L25/3.6*(H$11-H$12)*1000</f>
        <v>0</v>
      </c>
      <c r="O25" s="1187">
        <f t="shared" ref="O25:O46" si="2">+K25+N25</f>
        <v>0</v>
      </c>
      <c r="P25" s="877"/>
    </row>
    <row r="26" spans="2:17" x14ac:dyDescent="0.25">
      <c r="B26" s="136">
        <v>2015</v>
      </c>
      <c r="C26" s="1195" t="s">
        <v>978</v>
      </c>
      <c r="D26" s="136">
        <v>1.9970000000000001</v>
      </c>
      <c r="E26" s="136"/>
      <c r="F26" s="1193">
        <v>4.234</v>
      </c>
      <c r="G26" s="213">
        <f t="shared" si="0"/>
        <v>15.2424</v>
      </c>
      <c r="I26" s="136"/>
      <c r="J26" s="136"/>
      <c r="K26" s="1166"/>
      <c r="L26" s="502">
        <f>+(L$31-L$25)/6+L25</f>
        <v>2.35</v>
      </c>
      <c r="M26" s="136"/>
      <c r="N26" s="1166">
        <f t="shared" si="1"/>
        <v>40.472222222222229</v>
      </c>
      <c r="O26" s="1187">
        <f t="shared" si="2"/>
        <v>40.472222222222229</v>
      </c>
      <c r="P26" s="235"/>
      <c r="Q26" s="125"/>
    </row>
    <row r="27" spans="2:17" ht="37.5" customHeight="1" x14ac:dyDescent="0.25">
      <c r="B27" s="136">
        <v>2016</v>
      </c>
      <c r="C27" s="1788" t="s">
        <v>919</v>
      </c>
      <c r="D27" s="1789"/>
      <c r="E27" s="1789"/>
      <c r="F27" s="1790"/>
      <c r="G27" s="225"/>
      <c r="I27" s="136">
        <v>1.6</v>
      </c>
      <c r="J27" s="136"/>
      <c r="K27" s="1166"/>
      <c r="L27" s="502">
        <f>+(L$31-L$25)/6+L26</f>
        <v>4.7</v>
      </c>
      <c r="M27" s="136"/>
      <c r="N27" s="1166">
        <f t="shared" si="1"/>
        <v>80.944444444444457</v>
      </c>
      <c r="O27" s="1187">
        <f t="shared" si="2"/>
        <v>80.944444444444457</v>
      </c>
      <c r="P27" s="235" t="s">
        <v>794</v>
      </c>
      <c r="Q27" s="125"/>
    </row>
    <row r="28" spans="2:17" ht="120" x14ac:dyDescent="0.25">
      <c r="B28" s="136">
        <v>2017</v>
      </c>
      <c r="C28" s="225"/>
      <c r="D28" s="1196" t="s">
        <v>979</v>
      </c>
      <c r="E28" s="225"/>
      <c r="F28" s="225"/>
      <c r="G28" s="225"/>
      <c r="I28" s="165"/>
      <c r="J28" s="136"/>
      <c r="K28" s="1166"/>
      <c r="L28" s="502">
        <f>+(L$31-L$25)/6+L27</f>
        <v>7.0500000000000007</v>
      </c>
      <c r="M28" s="136"/>
      <c r="N28" s="1166">
        <f t="shared" si="1"/>
        <v>121.41666666666669</v>
      </c>
      <c r="O28" s="1187">
        <f t="shared" si="2"/>
        <v>121.41666666666669</v>
      </c>
      <c r="P28" s="235"/>
      <c r="Q28" s="125"/>
    </row>
    <row r="29" spans="2:17" x14ac:dyDescent="0.25">
      <c r="B29" s="136">
        <v>2018</v>
      </c>
      <c r="C29" s="225"/>
      <c r="D29" s="225"/>
      <c r="E29" s="225"/>
      <c r="F29" s="225"/>
      <c r="G29" s="225"/>
      <c r="I29" s="136">
        <v>25</v>
      </c>
      <c r="J29" s="213">
        <f>+I29/3.6</f>
        <v>6.9444444444444446</v>
      </c>
      <c r="K29" s="1166">
        <f t="shared" ref="K29:K36" si="3">+J29*(F$16-H$12)*1000</f>
        <v>510.41666666666674</v>
      </c>
      <c r="L29" s="502">
        <f>+(L$31-L$25)/6+L28</f>
        <v>9.4</v>
      </c>
      <c r="M29" s="136"/>
      <c r="N29" s="1166">
        <f t="shared" si="1"/>
        <v>161.88888888888891</v>
      </c>
      <c r="O29" s="1187">
        <f t="shared" si="2"/>
        <v>672.30555555555566</v>
      </c>
      <c r="P29" s="235"/>
      <c r="Q29" s="125"/>
    </row>
    <row r="30" spans="2:17" x14ac:dyDescent="0.25">
      <c r="B30" s="136">
        <v>2019</v>
      </c>
      <c r="C30" s="225"/>
      <c r="D30" s="225"/>
      <c r="E30" s="225"/>
      <c r="F30" s="225"/>
      <c r="G30" s="225"/>
      <c r="I30" s="136">
        <v>25</v>
      </c>
      <c r="J30" s="213">
        <f t="shared" ref="J30:J36" si="4">+I30/3.6</f>
        <v>6.9444444444444446</v>
      </c>
      <c r="K30" s="1166">
        <f t="shared" si="3"/>
        <v>510.41666666666674</v>
      </c>
      <c r="L30" s="502">
        <f>+(L$31-L$25)/6+L29</f>
        <v>11.75</v>
      </c>
      <c r="M30" s="136"/>
      <c r="N30" s="1166">
        <f t="shared" si="1"/>
        <v>202.36111111111114</v>
      </c>
      <c r="O30" s="1187">
        <f t="shared" si="2"/>
        <v>712.77777777777783</v>
      </c>
      <c r="P30" s="235"/>
      <c r="Q30" s="125"/>
    </row>
    <row r="31" spans="2:17" ht="62.45" customHeight="1" x14ac:dyDescent="0.25">
      <c r="B31" s="136">
        <v>2020</v>
      </c>
      <c r="C31" s="225"/>
      <c r="D31" s="225"/>
      <c r="E31" s="225"/>
      <c r="F31" s="225"/>
      <c r="G31" s="225"/>
      <c r="H31" s="14"/>
      <c r="I31" s="136">
        <v>25</v>
      </c>
      <c r="J31" s="213">
        <f t="shared" si="4"/>
        <v>6.9444444444444446</v>
      </c>
      <c r="K31" s="1166">
        <f t="shared" si="3"/>
        <v>510.41666666666674</v>
      </c>
      <c r="L31" s="234">
        <f>+H13-I31</f>
        <v>14.100000000000001</v>
      </c>
      <c r="M31" s="165" t="s">
        <v>921</v>
      </c>
      <c r="N31" s="1166">
        <f t="shared" si="1"/>
        <v>242.83333333333337</v>
      </c>
      <c r="O31" s="1187">
        <f>+K31+N31</f>
        <v>753.25000000000011</v>
      </c>
      <c r="P31" s="214">
        <f>SUM(O23:O31)</f>
        <v>2381.166666666667</v>
      </c>
      <c r="Q31" s="208" t="s">
        <v>242</v>
      </c>
    </row>
    <row r="32" spans="2:17" x14ac:dyDescent="0.25">
      <c r="B32" s="136">
        <v>2021</v>
      </c>
      <c r="C32" s="225"/>
      <c r="D32" s="225"/>
      <c r="E32" s="225"/>
      <c r="F32" s="225"/>
      <c r="G32" s="225"/>
      <c r="I32" s="136">
        <v>25</v>
      </c>
      <c r="J32" s="213">
        <f t="shared" si="4"/>
        <v>6.9444444444444446</v>
      </c>
      <c r="K32" s="1166">
        <f t="shared" si="3"/>
        <v>510.41666666666674</v>
      </c>
      <c r="L32" s="502">
        <f>+L31</f>
        <v>14.100000000000001</v>
      </c>
      <c r="M32" s="136"/>
      <c r="N32" s="1166">
        <f t="shared" si="1"/>
        <v>242.83333333333337</v>
      </c>
      <c r="O32" s="1187">
        <f t="shared" si="2"/>
        <v>753.25000000000011</v>
      </c>
      <c r="Q32" s="236"/>
    </row>
    <row r="33" spans="2:17" x14ac:dyDescent="0.25">
      <c r="B33" s="136">
        <v>2022</v>
      </c>
      <c r="C33" s="225"/>
      <c r="D33" s="225"/>
      <c r="E33" s="225"/>
      <c r="F33" s="225"/>
      <c r="G33" s="225"/>
      <c r="I33" s="136">
        <v>25</v>
      </c>
      <c r="J33" s="213">
        <f t="shared" si="4"/>
        <v>6.9444444444444446</v>
      </c>
      <c r="K33" s="1166">
        <f t="shared" si="3"/>
        <v>510.41666666666674</v>
      </c>
      <c r="L33" s="502">
        <f t="shared" ref="L33:L41" si="5">+L32</f>
        <v>14.100000000000001</v>
      </c>
      <c r="M33" s="136"/>
      <c r="N33" s="1166">
        <f t="shared" si="1"/>
        <v>242.83333333333337</v>
      </c>
      <c r="O33" s="1187">
        <f t="shared" si="2"/>
        <v>753.25000000000011</v>
      </c>
      <c r="Q33" s="125"/>
    </row>
    <row r="34" spans="2:17" x14ac:dyDescent="0.25">
      <c r="B34" s="136">
        <v>2023</v>
      </c>
      <c r="C34" s="225"/>
      <c r="D34" s="225"/>
      <c r="E34" s="225"/>
      <c r="F34" s="225"/>
      <c r="G34" s="225"/>
      <c r="I34" s="136">
        <v>25</v>
      </c>
      <c r="J34" s="213">
        <f t="shared" si="4"/>
        <v>6.9444444444444446</v>
      </c>
      <c r="K34" s="1166">
        <f t="shared" si="3"/>
        <v>510.41666666666674</v>
      </c>
      <c r="L34" s="502">
        <f t="shared" si="5"/>
        <v>14.100000000000001</v>
      </c>
      <c r="M34" s="136"/>
      <c r="N34" s="1166">
        <f t="shared" si="1"/>
        <v>242.83333333333337</v>
      </c>
      <c r="O34" s="1187">
        <f t="shared" si="2"/>
        <v>753.25000000000011</v>
      </c>
      <c r="P34" s="125"/>
      <c r="Q34" s="125"/>
    </row>
    <row r="35" spans="2:17" x14ac:dyDescent="0.25">
      <c r="B35" s="136">
        <v>2024</v>
      </c>
      <c r="C35" s="225"/>
      <c r="D35" s="225"/>
      <c r="E35" s="225"/>
      <c r="F35" s="225"/>
      <c r="G35" s="225"/>
      <c r="I35" s="136">
        <v>25</v>
      </c>
      <c r="J35" s="213">
        <f t="shared" si="4"/>
        <v>6.9444444444444446</v>
      </c>
      <c r="K35" s="1166">
        <f t="shared" si="3"/>
        <v>510.41666666666674</v>
      </c>
      <c r="L35" s="502">
        <f t="shared" si="5"/>
        <v>14.100000000000001</v>
      </c>
      <c r="M35" s="136"/>
      <c r="N35" s="1166">
        <f t="shared" si="1"/>
        <v>242.83333333333337</v>
      </c>
      <c r="O35" s="1187">
        <f t="shared" si="2"/>
        <v>753.25000000000011</v>
      </c>
      <c r="P35" s="125" t="s">
        <v>796</v>
      </c>
      <c r="Q35" s="125"/>
    </row>
    <row r="36" spans="2:17" x14ac:dyDescent="0.25">
      <c r="B36" s="136">
        <v>2025</v>
      </c>
      <c r="C36" s="225"/>
      <c r="D36" s="225"/>
      <c r="E36" s="225"/>
      <c r="F36" s="225"/>
      <c r="G36" s="225"/>
      <c r="I36" s="136">
        <v>25</v>
      </c>
      <c r="J36" s="213">
        <f t="shared" si="4"/>
        <v>6.9444444444444446</v>
      </c>
      <c r="K36" s="1166">
        <f t="shared" si="3"/>
        <v>510.41666666666674</v>
      </c>
      <c r="L36" s="502">
        <f t="shared" si="5"/>
        <v>14.100000000000001</v>
      </c>
      <c r="M36" s="136"/>
      <c r="N36" s="1166">
        <f t="shared" si="1"/>
        <v>242.83333333333337</v>
      </c>
      <c r="O36" s="1187">
        <f t="shared" si="2"/>
        <v>753.25000000000011</v>
      </c>
      <c r="P36" s="125" t="s">
        <v>795</v>
      </c>
      <c r="Q36" s="125"/>
    </row>
    <row r="37" spans="2:17" x14ac:dyDescent="0.25">
      <c r="B37" s="136">
        <v>2026</v>
      </c>
      <c r="C37" s="225"/>
      <c r="D37" s="225"/>
      <c r="E37" s="225"/>
      <c r="F37" s="225"/>
      <c r="G37" s="225"/>
      <c r="I37" s="136"/>
      <c r="J37" s="136"/>
      <c r="K37" s="1166"/>
      <c r="L37" s="502">
        <f t="shared" si="5"/>
        <v>14.100000000000001</v>
      </c>
      <c r="M37" s="136"/>
      <c r="N37" s="1166">
        <f t="shared" si="1"/>
        <v>242.83333333333337</v>
      </c>
      <c r="O37" s="1187">
        <f t="shared" si="2"/>
        <v>242.83333333333337</v>
      </c>
      <c r="P37" s="125"/>
      <c r="Q37" s="125"/>
    </row>
    <row r="38" spans="2:17" x14ac:dyDescent="0.25">
      <c r="B38" s="136">
        <v>2027</v>
      </c>
      <c r="C38" s="225"/>
      <c r="D38" s="225"/>
      <c r="E38" s="225"/>
      <c r="F38" s="225"/>
      <c r="G38" s="225"/>
      <c r="I38" s="136"/>
      <c r="J38" s="136"/>
      <c r="K38" s="1166"/>
      <c r="L38" s="502">
        <f t="shared" si="5"/>
        <v>14.100000000000001</v>
      </c>
      <c r="M38" s="136"/>
      <c r="N38" s="1166">
        <f t="shared" si="1"/>
        <v>242.83333333333337</v>
      </c>
      <c r="O38" s="1187">
        <f t="shared" si="2"/>
        <v>242.83333333333337</v>
      </c>
      <c r="P38" s="125"/>
      <c r="Q38" s="125"/>
    </row>
    <row r="39" spans="2:17" x14ac:dyDescent="0.25">
      <c r="B39" s="136">
        <v>2028</v>
      </c>
      <c r="C39" s="225"/>
      <c r="D39" s="225"/>
      <c r="E39" s="225"/>
      <c r="F39" s="225"/>
      <c r="G39" s="225"/>
      <c r="I39" s="136"/>
      <c r="J39" s="136"/>
      <c r="K39" s="1166"/>
      <c r="L39" s="502">
        <f t="shared" si="5"/>
        <v>14.100000000000001</v>
      </c>
      <c r="M39" s="136"/>
      <c r="N39" s="1166">
        <f t="shared" si="1"/>
        <v>242.83333333333337</v>
      </c>
      <c r="O39" s="1187">
        <f t="shared" si="2"/>
        <v>242.83333333333337</v>
      </c>
      <c r="P39" s="125"/>
      <c r="Q39" s="125"/>
    </row>
    <row r="40" spans="2:17" x14ac:dyDescent="0.25">
      <c r="B40" s="136">
        <v>2029</v>
      </c>
      <c r="C40" s="225"/>
      <c r="D40" s="225"/>
      <c r="E40" s="225"/>
      <c r="F40" s="225"/>
      <c r="G40" s="225"/>
      <c r="I40" s="136"/>
      <c r="J40" s="136"/>
      <c r="K40" s="1166"/>
      <c r="L40" s="502">
        <f t="shared" si="5"/>
        <v>14.100000000000001</v>
      </c>
      <c r="M40" s="136"/>
      <c r="N40" s="1166">
        <f t="shared" si="1"/>
        <v>242.83333333333337</v>
      </c>
      <c r="O40" s="1187">
        <f t="shared" si="2"/>
        <v>242.83333333333337</v>
      </c>
      <c r="P40" s="125"/>
      <c r="Q40" s="125"/>
    </row>
    <row r="41" spans="2:17" x14ac:dyDescent="0.25">
      <c r="B41" s="136">
        <v>2030</v>
      </c>
      <c r="C41" s="225"/>
      <c r="D41" s="225"/>
      <c r="E41" s="225"/>
      <c r="F41" s="225"/>
      <c r="G41" s="225"/>
      <c r="I41" s="136"/>
      <c r="J41" s="136"/>
      <c r="K41" s="1166"/>
      <c r="L41" s="502">
        <f t="shared" si="5"/>
        <v>14.100000000000001</v>
      </c>
      <c r="M41" s="136"/>
      <c r="N41" s="1166">
        <f t="shared" si="1"/>
        <v>242.83333333333337</v>
      </c>
      <c r="O41" s="1187">
        <f t="shared" si="2"/>
        <v>242.83333333333337</v>
      </c>
      <c r="P41" s="125" t="s">
        <v>797</v>
      </c>
      <c r="Q41" s="125"/>
    </row>
    <row r="42" spans="2:17" x14ac:dyDescent="0.25">
      <c r="B42" s="136">
        <v>2031</v>
      </c>
      <c r="C42" s="225"/>
      <c r="D42" s="225"/>
      <c r="E42" s="225"/>
      <c r="F42" s="225"/>
      <c r="G42" s="225"/>
      <c r="I42" s="136"/>
      <c r="J42" s="136"/>
      <c r="K42" s="1166"/>
      <c r="L42" s="502">
        <f>+(L41-L$41/6)</f>
        <v>11.750000000000002</v>
      </c>
      <c r="M42" s="136"/>
      <c r="N42" s="1166">
        <f t="shared" si="1"/>
        <v>202.36111111111117</v>
      </c>
      <c r="O42" s="1187">
        <f t="shared" si="2"/>
        <v>202.36111111111117</v>
      </c>
      <c r="P42" s="125"/>
      <c r="Q42" s="125"/>
    </row>
    <row r="43" spans="2:17" x14ac:dyDescent="0.25">
      <c r="B43" s="136">
        <v>2032</v>
      </c>
      <c r="C43" s="225"/>
      <c r="D43" s="225"/>
      <c r="E43" s="225"/>
      <c r="F43" s="225"/>
      <c r="G43" s="225"/>
      <c r="I43" s="136"/>
      <c r="J43" s="136"/>
      <c r="K43" s="1166"/>
      <c r="L43" s="502">
        <f>+(L42-L$41/6)</f>
        <v>9.4000000000000021</v>
      </c>
      <c r="M43" s="136"/>
      <c r="N43" s="1166">
        <f t="shared" si="1"/>
        <v>161.88888888888894</v>
      </c>
      <c r="O43" s="1187">
        <f t="shared" si="2"/>
        <v>161.88888888888894</v>
      </c>
      <c r="P43" s="125"/>
      <c r="Q43" s="125"/>
    </row>
    <row r="44" spans="2:17" x14ac:dyDescent="0.25">
      <c r="B44" s="136">
        <v>2033</v>
      </c>
      <c r="C44" s="225"/>
      <c r="D44" s="225"/>
      <c r="E44" s="225"/>
      <c r="F44" s="225"/>
      <c r="G44" s="225"/>
      <c r="I44" s="136"/>
      <c r="J44" s="136"/>
      <c r="K44" s="1166"/>
      <c r="L44" s="502">
        <f>+(L43-L$41/6)</f>
        <v>7.0500000000000025</v>
      </c>
      <c r="M44" s="136"/>
      <c r="N44" s="1166">
        <f t="shared" si="1"/>
        <v>121.41666666666671</v>
      </c>
      <c r="O44" s="1187">
        <f t="shared" si="2"/>
        <v>121.41666666666671</v>
      </c>
    </row>
    <row r="45" spans="2:17" x14ac:dyDescent="0.25">
      <c r="B45" s="136">
        <v>2034</v>
      </c>
      <c r="C45" s="225"/>
      <c r="D45" s="225"/>
      <c r="E45" s="225"/>
      <c r="F45" s="225"/>
      <c r="G45" s="225"/>
      <c r="I45" s="136"/>
      <c r="J45" s="136"/>
      <c r="K45" s="1116"/>
      <c r="L45" s="502">
        <f>+(L44-L$41/6)</f>
        <v>4.7000000000000028</v>
      </c>
      <c r="M45" s="136"/>
      <c r="N45" s="1166">
        <f t="shared" si="1"/>
        <v>80.9444444444445</v>
      </c>
      <c r="O45" s="1187">
        <f t="shared" si="2"/>
        <v>80.9444444444445</v>
      </c>
    </row>
    <row r="46" spans="2:17" x14ac:dyDescent="0.25">
      <c r="B46" s="136">
        <v>2035</v>
      </c>
      <c r="C46" s="225"/>
      <c r="D46" s="225"/>
      <c r="E46" s="225"/>
      <c r="F46" s="225"/>
      <c r="G46" s="225"/>
      <c r="I46" s="136"/>
      <c r="J46" s="136"/>
      <c r="K46" s="1116"/>
      <c r="L46" s="502">
        <v>0</v>
      </c>
      <c r="M46" s="136"/>
      <c r="N46" s="1166">
        <f t="shared" si="1"/>
        <v>0</v>
      </c>
      <c r="O46" s="1187">
        <f t="shared" si="2"/>
        <v>0</v>
      </c>
      <c r="P46" s="200">
        <f>SUM(O32:O46)</f>
        <v>5547.0277777777774</v>
      </c>
      <c r="Q46" s="208" t="s">
        <v>47</v>
      </c>
    </row>
    <row r="47" spans="2:17" x14ac:dyDescent="0.25">
      <c r="D47" s="83"/>
      <c r="G47" s="863"/>
      <c r="I47" s="304"/>
      <c r="J47" s="304"/>
      <c r="K47" s="125"/>
      <c r="L47" s="125"/>
    </row>
    <row r="48" spans="2:17" x14ac:dyDescent="0.25">
      <c r="C48" s="65">
        <f>SUM(C21:C26)</f>
        <v>11.071</v>
      </c>
      <c r="G48" s="875"/>
      <c r="J48" s="65">
        <f>SUM(J27:J45)</f>
        <v>55.55555555555555</v>
      </c>
      <c r="K48" s="65">
        <f>SUM(K27:K45)</f>
        <v>4083.3333333333348</v>
      </c>
      <c r="L48" s="65">
        <f t="shared" ref="L48:N48" si="6">SUM(L27:L45)</f>
        <v>220.89999999999998</v>
      </c>
      <c r="M48" s="65">
        <f t="shared" si="6"/>
        <v>0</v>
      </c>
      <c r="N48" s="65">
        <f t="shared" si="6"/>
        <v>3804.3888888888905</v>
      </c>
    </row>
    <row r="49" spans="1:11" ht="15.75" x14ac:dyDescent="0.25">
      <c r="A49" s="957" t="s">
        <v>771</v>
      </c>
      <c r="B49" s="957"/>
      <c r="C49" s="957"/>
      <c r="D49" s="957"/>
      <c r="E49" s="957"/>
      <c r="F49" s="957"/>
      <c r="G49" s="957"/>
      <c r="H49" s="957"/>
      <c r="I49" s="957"/>
      <c r="J49" s="957"/>
      <c r="K49" s="957"/>
    </row>
    <row r="50" spans="1:11" x14ac:dyDescent="0.25">
      <c r="A50"/>
      <c r="B50" s="65" t="s">
        <v>728</v>
      </c>
      <c r="F50" s="223">
        <f>+'%Hernieuwbaar'!B22</f>
        <v>25.402799999999999</v>
      </c>
      <c r="G50" s="65" t="s">
        <v>177</v>
      </c>
      <c r="H50" s="219"/>
      <c r="I50"/>
      <c r="J50"/>
      <c r="K50"/>
    </row>
    <row r="51" spans="1:11" x14ac:dyDescent="0.25">
      <c r="A51"/>
      <c r="F51" s="223"/>
      <c r="H51" s="219"/>
      <c r="I51"/>
      <c r="J51"/>
      <c r="K51"/>
    </row>
    <row r="52" spans="1:11" x14ac:dyDescent="0.25">
      <c r="A52"/>
      <c r="B52" s="65" t="s">
        <v>462</v>
      </c>
      <c r="F52" s="767">
        <f>+Uitgangspunten!B41</f>
        <v>50</v>
      </c>
      <c r="G52" s="65" t="s">
        <v>315</v>
      </c>
      <c r="H52" s="219"/>
      <c r="I52"/>
      <c r="J52"/>
      <c r="K52"/>
    </row>
    <row r="53" spans="1:11" x14ac:dyDescent="0.25">
      <c r="A53"/>
      <c r="F53" s="125"/>
      <c r="H53" s="219"/>
      <c r="I53"/>
      <c r="J53"/>
      <c r="K53"/>
    </row>
    <row r="54" spans="1:11" x14ac:dyDescent="0.25">
      <c r="A54"/>
      <c r="B54" s="65" t="s">
        <v>340</v>
      </c>
      <c r="F54" s="363">
        <f>+(Uitgangspunten!B39-Uitgangspunten!B40)/0.0036</f>
        <v>12.5</v>
      </c>
      <c r="G54" s="65" t="s">
        <v>184</v>
      </c>
      <c r="H54"/>
      <c r="I54"/>
      <c r="J54"/>
      <c r="K54"/>
    </row>
    <row r="55" spans="1:11" x14ac:dyDescent="0.25">
      <c r="A55"/>
      <c r="B55" s="65" t="s">
        <v>341</v>
      </c>
      <c r="C55"/>
      <c r="D55"/>
      <c r="E55"/>
      <c r="F55" s="360">
        <f>+F54*10^6</f>
        <v>12500000</v>
      </c>
      <c r="G55" t="s">
        <v>322</v>
      </c>
      <c r="H55"/>
      <c r="I55"/>
      <c r="J55"/>
      <c r="K55"/>
    </row>
    <row r="56" spans="1:11" x14ac:dyDescent="0.25">
      <c r="A56"/>
      <c r="B56"/>
      <c r="C56"/>
      <c r="D56"/>
      <c r="E56"/>
      <c r="F56"/>
      <c r="G56"/>
      <c r="H56"/>
      <c r="I56"/>
      <c r="J56"/>
      <c r="K56" s="8"/>
    </row>
    <row r="57" spans="1:11" x14ac:dyDescent="0.25">
      <c r="A57"/>
      <c r="B57" s="208" t="s">
        <v>320</v>
      </c>
      <c r="C57" s="208"/>
    </row>
    <row r="58" spans="1:11" ht="45" x14ac:dyDescent="0.25">
      <c r="A58"/>
      <c r="B58" s="762"/>
      <c r="C58" s="171" t="s">
        <v>461</v>
      </c>
      <c r="D58" s="962" t="s">
        <v>223</v>
      </c>
      <c r="E58" s="171" t="s">
        <v>274</v>
      </c>
    </row>
    <row r="59" spans="1:11" x14ac:dyDescent="0.25">
      <c r="A59"/>
      <c r="B59" s="136">
        <v>2013</v>
      </c>
      <c r="C59" s="634">
        <f>+F50</f>
        <v>25.402799999999999</v>
      </c>
      <c r="D59" s="4"/>
      <c r="E59" s="885">
        <f>+(C59-$C$59)*F$55/10^6</f>
        <v>0</v>
      </c>
      <c r="G59" s="65" t="s">
        <v>935</v>
      </c>
    </row>
    <row r="60" spans="1:11" x14ac:dyDescent="0.25">
      <c r="A60"/>
      <c r="B60" s="136">
        <v>2014</v>
      </c>
      <c r="C60" s="355">
        <f t="shared" ref="C60:C65" si="7">+(C$66-C$59)/7+C59</f>
        <v>28.916685714285713</v>
      </c>
      <c r="D60" s="165" t="s">
        <v>225</v>
      </c>
      <c r="E60" s="885">
        <f t="shared" ref="E60:E78" si="8">+(C60-$C$59)*F$55/10^6</f>
        <v>43.923571428571421</v>
      </c>
      <c r="G60" s="65" t="s">
        <v>678</v>
      </c>
    </row>
    <row r="61" spans="1:11" x14ac:dyDescent="0.25">
      <c r="A61"/>
      <c r="B61" s="136">
        <v>2015</v>
      </c>
      <c r="C61" s="355">
        <f t="shared" si="7"/>
        <v>32.430571428571426</v>
      </c>
      <c r="D61" s="165" t="s">
        <v>225</v>
      </c>
      <c r="E61" s="885">
        <f t="shared" si="8"/>
        <v>87.847142857142842</v>
      </c>
      <c r="G61" s="65" t="s">
        <v>679</v>
      </c>
    </row>
    <row r="62" spans="1:11" x14ac:dyDescent="0.25">
      <c r="A62"/>
      <c r="B62" s="136">
        <v>2016</v>
      </c>
      <c r="C62" s="355">
        <f t="shared" si="7"/>
        <v>35.944457142857139</v>
      </c>
      <c r="D62" s="165" t="s">
        <v>225</v>
      </c>
      <c r="E62" s="885">
        <f t="shared" si="8"/>
        <v>131.77071428571426</v>
      </c>
    </row>
    <row r="63" spans="1:11" x14ac:dyDescent="0.25">
      <c r="A63"/>
      <c r="B63" s="136">
        <v>2017</v>
      </c>
      <c r="C63" s="355">
        <f t="shared" si="7"/>
        <v>39.458342857142853</v>
      </c>
      <c r="D63" s="165" t="s">
        <v>225</v>
      </c>
      <c r="E63" s="885">
        <f t="shared" si="8"/>
        <v>175.69428571428568</v>
      </c>
    </row>
    <row r="64" spans="1:11" x14ac:dyDescent="0.25">
      <c r="A64"/>
      <c r="B64" s="136">
        <v>2018</v>
      </c>
      <c r="C64" s="355">
        <f t="shared" si="7"/>
        <v>42.972228571428566</v>
      </c>
      <c r="D64" s="165" t="s">
        <v>225</v>
      </c>
      <c r="E64" s="885">
        <f t="shared" si="8"/>
        <v>219.61785714285708</v>
      </c>
    </row>
    <row r="65" spans="1:10" x14ac:dyDescent="0.25">
      <c r="A65"/>
      <c r="B65" s="136">
        <v>2019</v>
      </c>
      <c r="C65" s="355">
        <f t="shared" si="7"/>
        <v>46.48611428571428</v>
      </c>
      <c r="D65" s="165" t="s">
        <v>225</v>
      </c>
      <c r="E65" s="885">
        <f t="shared" si="8"/>
        <v>263.54142857142853</v>
      </c>
    </row>
    <row r="66" spans="1:10" x14ac:dyDescent="0.25">
      <c r="A66"/>
      <c r="B66" s="136">
        <v>2020</v>
      </c>
      <c r="C66" s="358">
        <f>+F52</f>
        <v>50</v>
      </c>
      <c r="D66" s="160" t="s">
        <v>460</v>
      </c>
      <c r="E66" s="885">
        <f t="shared" si="8"/>
        <v>307.46499999999997</v>
      </c>
      <c r="F66" s="231">
        <f>SUM(E59:E66)</f>
        <v>1229.8599999999997</v>
      </c>
      <c r="G66" s="208" t="s">
        <v>197</v>
      </c>
    </row>
    <row r="67" spans="1:10" x14ac:dyDescent="0.25">
      <c r="A67"/>
      <c r="B67" s="136">
        <v>2021</v>
      </c>
      <c r="C67" s="355">
        <f>+C66</f>
        <v>50</v>
      </c>
      <c r="D67" s="165"/>
      <c r="E67" s="885">
        <f t="shared" si="8"/>
        <v>307.46499999999997</v>
      </c>
    </row>
    <row r="68" spans="1:10" x14ac:dyDescent="0.25">
      <c r="A68"/>
      <c r="B68" s="136">
        <v>2022</v>
      </c>
      <c r="C68" s="355">
        <f t="shared" ref="C68:C74" si="9">+C67</f>
        <v>50</v>
      </c>
      <c r="D68" s="165"/>
      <c r="E68" s="885">
        <f t="shared" si="8"/>
        <v>307.46499999999997</v>
      </c>
      <c r="G68" s="83"/>
      <c r="H68" s="83"/>
      <c r="I68" s="83"/>
      <c r="J68" s="83"/>
    </row>
    <row r="69" spans="1:10" x14ac:dyDescent="0.25">
      <c r="A69"/>
      <c r="B69" s="136">
        <v>2023</v>
      </c>
      <c r="C69" s="355">
        <f t="shared" si="9"/>
        <v>50</v>
      </c>
      <c r="D69" s="165"/>
      <c r="E69" s="885">
        <f t="shared" si="8"/>
        <v>307.46499999999997</v>
      </c>
      <c r="G69" s="83"/>
      <c r="H69" s="83"/>
      <c r="I69" s="83"/>
      <c r="J69" s="83"/>
    </row>
    <row r="70" spans="1:10" x14ac:dyDescent="0.25">
      <c r="A70"/>
      <c r="B70" s="136">
        <v>2024</v>
      </c>
      <c r="C70" s="355">
        <f t="shared" si="9"/>
        <v>50</v>
      </c>
      <c r="D70" s="165"/>
      <c r="E70" s="885">
        <f t="shared" si="8"/>
        <v>307.46499999999997</v>
      </c>
      <c r="G70" s="83"/>
      <c r="H70" s="83"/>
      <c r="I70" s="83"/>
      <c r="J70" s="83"/>
    </row>
    <row r="71" spans="1:10" x14ac:dyDescent="0.25">
      <c r="A71"/>
      <c r="B71" s="136">
        <v>2025</v>
      </c>
      <c r="C71" s="355">
        <f t="shared" si="9"/>
        <v>50</v>
      </c>
      <c r="D71" s="165"/>
      <c r="E71" s="885">
        <f t="shared" si="8"/>
        <v>307.46499999999997</v>
      </c>
      <c r="F71" s="223"/>
      <c r="G71" s="83"/>
      <c r="H71" s="83"/>
      <c r="I71" s="83"/>
      <c r="J71" s="83"/>
    </row>
    <row r="72" spans="1:10" x14ac:dyDescent="0.25">
      <c r="A72"/>
      <c r="B72" s="136">
        <v>2026</v>
      </c>
      <c r="C72" s="229">
        <f t="shared" si="9"/>
        <v>50</v>
      </c>
      <c r="D72" s="165"/>
      <c r="E72" s="885">
        <f t="shared" si="8"/>
        <v>307.46499999999997</v>
      </c>
      <c r="G72" s="83"/>
      <c r="H72" s="83"/>
      <c r="I72" s="83"/>
      <c r="J72" s="83"/>
    </row>
    <row r="73" spans="1:10" x14ac:dyDescent="0.25">
      <c r="A73" s="3"/>
      <c r="B73" s="136">
        <v>2027</v>
      </c>
      <c r="C73" s="229">
        <f t="shared" si="9"/>
        <v>50</v>
      </c>
      <c r="D73" s="165"/>
      <c r="E73" s="885">
        <f t="shared" si="8"/>
        <v>307.46499999999997</v>
      </c>
    </row>
    <row r="74" spans="1:10" x14ac:dyDescent="0.25">
      <c r="A74" s="3"/>
      <c r="B74" s="136">
        <v>2028</v>
      </c>
      <c r="C74" s="229">
        <f t="shared" si="9"/>
        <v>50</v>
      </c>
      <c r="D74" s="165"/>
      <c r="E74" s="885">
        <f t="shared" si="8"/>
        <v>307.46499999999997</v>
      </c>
    </row>
    <row r="75" spans="1:10" x14ac:dyDescent="0.25">
      <c r="A75" s="17"/>
      <c r="B75" s="136">
        <v>2029</v>
      </c>
      <c r="C75" s="229">
        <f>+C74</f>
        <v>50</v>
      </c>
      <c r="D75" s="165"/>
      <c r="E75" s="885">
        <f t="shared" si="8"/>
        <v>307.46499999999997</v>
      </c>
    </row>
    <row r="76" spans="1:10" ht="15.75" x14ac:dyDescent="0.25">
      <c r="A76" s="352"/>
      <c r="B76" s="136">
        <v>2030</v>
      </c>
      <c r="C76" s="1041">
        <f>+C75</f>
        <v>50</v>
      </c>
      <c r="D76" s="165"/>
      <c r="E76" s="885">
        <f t="shared" si="8"/>
        <v>307.46499999999997</v>
      </c>
      <c r="F76" s="125" t="s">
        <v>797</v>
      </c>
    </row>
    <row r="77" spans="1:10" ht="15.75" x14ac:dyDescent="0.25">
      <c r="A77" s="353"/>
      <c r="B77" s="136">
        <v>2031</v>
      </c>
      <c r="C77" s="1041">
        <f>+(C76-C$76/6)</f>
        <v>41.666666666666664</v>
      </c>
      <c r="D77" s="165"/>
      <c r="E77" s="885">
        <f t="shared" si="8"/>
        <v>203.29833333333332</v>
      </c>
    </row>
    <row r="78" spans="1:10" ht="15.75" x14ac:dyDescent="0.25">
      <c r="A78" s="354"/>
      <c r="B78" s="136">
        <v>2032</v>
      </c>
      <c r="C78" s="1041">
        <f>+(C77-C$76/6)</f>
        <v>33.333333333333329</v>
      </c>
      <c r="D78" s="165"/>
      <c r="E78" s="885">
        <f t="shared" si="8"/>
        <v>99.131666666666618</v>
      </c>
    </row>
    <row r="79" spans="1:10" ht="15.75" x14ac:dyDescent="0.25">
      <c r="A79" s="352"/>
      <c r="B79" s="136">
        <v>2033</v>
      </c>
      <c r="C79" s="1041">
        <f>+(C78-C$76/6)</f>
        <v>24.999999999999993</v>
      </c>
      <c r="D79" s="165"/>
      <c r="E79" s="885">
        <f>+(C79-$C$59)*F$55/10^6</f>
        <v>-5.0350000000000783</v>
      </c>
    </row>
    <row r="80" spans="1:10" x14ac:dyDescent="0.25">
      <c r="A80" s="17"/>
      <c r="B80" s="136">
        <v>2034</v>
      </c>
      <c r="C80" s="1041">
        <f>+(C79-C$76/6)</f>
        <v>16.666666666666657</v>
      </c>
      <c r="D80" s="165"/>
      <c r="E80" s="885"/>
    </row>
    <row r="81" spans="1:11" x14ac:dyDescent="0.25">
      <c r="A81" s="17"/>
      <c r="B81" s="136">
        <v>2035</v>
      </c>
      <c r="C81" s="234">
        <v>0</v>
      </c>
      <c r="D81" s="165"/>
      <c r="E81" s="885"/>
      <c r="F81" s="232">
        <f>SUM(E67:E81)</f>
        <v>3372.0450000000001</v>
      </c>
      <c r="G81" s="208" t="s">
        <v>47</v>
      </c>
    </row>
    <row r="82" spans="1:11" x14ac:dyDescent="0.25">
      <c r="A82" s="17"/>
      <c r="B82"/>
      <c r="C82"/>
      <c r="E82" s="862"/>
      <c r="G82" s="201"/>
      <c r="I82"/>
      <c r="J82"/>
      <c r="K82" s="8"/>
    </row>
    <row r="83" spans="1:11" x14ac:dyDescent="0.25">
      <c r="A83" s="8"/>
      <c r="B83" s="20"/>
      <c r="C83"/>
      <c r="I83" s="65" t="s">
        <v>675</v>
      </c>
      <c r="K83" s="102"/>
    </row>
    <row r="84" spans="1:11" x14ac:dyDescent="0.25">
      <c r="A84" s="102"/>
      <c r="G84" s="362">
        <f>SUM(E59:E81)</f>
        <v>4601.9049999999997</v>
      </c>
      <c r="H84" s="65" t="s">
        <v>339</v>
      </c>
      <c r="I84" s="65" t="s">
        <v>676</v>
      </c>
    </row>
    <row r="85" spans="1:11" x14ac:dyDescent="0.25">
      <c r="I85"/>
      <c r="J85"/>
      <c r="K85"/>
    </row>
    <row r="86" spans="1:11" ht="15.75" x14ac:dyDescent="0.25">
      <c r="A86" s="957" t="s">
        <v>453</v>
      </c>
      <c r="B86" s="957"/>
      <c r="C86" s="957"/>
      <c r="D86" s="957"/>
      <c r="E86" s="957"/>
      <c r="F86" s="957"/>
      <c r="G86" s="957"/>
      <c r="H86" s="957"/>
      <c r="I86" s="957"/>
      <c r="J86" s="957"/>
      <c r="K86" s="957"/>
    </row>
    <row r="87" spans="1:11" x14ac:dyDescent="0.25">
      <c r="B87" s="65" t="s">
        <v>980</v>
      </c>
      <c r="F87" s="65">
        <v>18.600000000000001</v>
      </c>
      <c r="G87" s="65" t="s">
        <v>177</v>
      </c>
      <c r="H87" s="1129" t="s">
        <v>981</v>
      </c>
    </row>
    <row r="88" spans="1:11" x14ac:dyDescent="0.25">
      <c r="B88" s="65" t="s">
        <v>319</v>
      </c>
      <c r="F88" s="151">
        <f>+Uitgangspunten!B42</f>
        <v>18.8</v>
      </c>
      <c r="G88" s="65" t="s">
        <v>315</v>
      </c>
      <c r="H88" s="203"/>
    </row>
    <row r="92" spans="1:11" ht="15.75" x14ac:dyDescent="0.25">
      <c r="A92" s="957" t="s">
        <v>215</v>
      </c>
      <c r="B92" s="957"/>
      <c r="C92" s="957"/>
      <c r="D92" s="957"/>
      <c r="E92" s="957"/>
      <c r="F92" s="957"/>
      <c r="G92" s="957"/>
      <c r="H92" s="957"/>
      <c r="I92" s="957"/>
      <c r="J92" s="957"/>
      <c r="K92" s="957"/>
    </row>
    <row r="93" spans="1:11" x14ac:dyDescent="0.25">
      <c r="D93" s="83"/>
      <c r="I93" s="125"/>
      <c r="J93" s="125"/>
      <c r="K93" s="125"/>
    </row>
    <row r="94" spans="1:11" x14ac:dyDescent="0.25">
      <c r="A94" s="65" t="s">
        <v>457</v>
      </c>
      <c r="E94" s="83"/>
      <c r="F94" s="83"/>
      <c r="G94" s="83"/>
      <c r="H94" s="83"/>
      <c r="I94" s="125"/>
      <c r="J94" s="125"/>
      <c r="K94" s="125"/>
    </row>
  </sheetData>
  <mergeCells count="1">
    <mergeCell ref="C27:F27"/>
  </mergeCells>
  <pageMargins left="0.7" right="0.7" top="0.75" bottom="0.75" header="0.3" footer="0.3"/>
  <pageSetup paperSize="9" orientation="portrait" horizontalDpi="4294967293" verticalDpi="429496729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1"/>
  <sheetViews>
    <sheetView topLeftCell="A76" zoomScale="80" zoomScaleNormal="80" workbookViewId="0">
      <selection activeCell="P101" sqref="P101"/>
    </sheetView>
  </sheetViews>
  <sheetFormatPr defaultColWidth="9.140625" defaultRowHeight="15" x14ac:dyDescent="0.25"/>
  <cols>
    <col min="1" max="1" width="10.7109375" style="65" customWidth="1"/>
    <col min="2" max="3" width="12.7109375" style="65" customWidth="1"/>
    <col min="4" max="4" width="14.7109375" style="65" customWidth="1"/>
    <col min="5" max="12" width="12.7109375" style="65" customWidth="1"/>
    <col min="13" max="20" width="10.7109375" style="65" customWidth="1"/>
    <col min="21" max="21" width="14.5703125" style="65" customWidth="1"/>
    <col min="22" max="22" width="9.140625" style="65"/>
    <col min="23" max="23" width="12.7109375" style="65" customWidth="1"/>
    <col min="24" max="26" width="10.7109375" style="65" customWidth="1"/>
    <col min="27" max="27" width="9.140625" style="65"/>
    <col min="28" max="28" width="11.140625" style="65" customWidth="1"/>
    <col min="29" max="29" width="9.42578125" style="65" customWidth="1"/>
    <col min="30" max="16384" width="9.140625" style="65"/>
  </cols>
  <sheetData>
    <row r="1" spans="1:14" ht="21" x14ac:dyDescent="0.35">
      <c r="A1" s="196" t="s">
        <v>529</v>
      </c>
      <c r="B1" s="205"/>
      <c r="C1" s="205"/>
      <c r="D1" s="205"/>
      <c r="E1" s="205"/>
      <c r="F1" s="205"/>
      <c r="G1" s="205"/>
      <c r="H1" s="205"/>
      <c r="I1" s="205"/>
      <c r="J1" s="205"/>
      <c r="K1" s="205"/>
      <c r="L1" s="205"/>
    </row>
    <row r="2" spans="1:14" x14ac:dyDescent="0.25">
      <c r="A2" s="203" t="s">
        <v>175</v>
      </c>
    </row>
    <row r="3" spans="1:14" x14ac:dyDescent="0.25">
      <c r="A3" s="203" t="s">
        <v>634</v>
      </c>
    </row>
    <row r="5" spans="1:14" ht="15.75" x14ac:dyDescent="0.25">
      <c r="A5" s="957" t="s">
        <v>530</v>
      </c>
      <c r="B5" s="957"/>
      <c r="C5" s="957"/>
      <c r="D5" s="957"/>
      <c r="E5" s="957"/>
      <c r="F5" s="957"/>
      <c r="G5" s="957"/>
      <c r="H5" s="957"/>
      <c r="I5" s="957"/>
      <c r="J5" s="957"/>
      <c r="K5" s="957"/>
      <c r="L5" s="957"/>
    </row>
    <row r="6" spans="1:14" x14ac:dyDescent="0.25">
      <c r="A6" s="208" t="s">
        <v>34</v>
      </c>
    </row>
    <row r="7" spans="1:14" x14ac:dyDescent="0.25">
      <c r="A7" s="208"/>
      <c r="I7" s="121"/>
    </row>
    <row r="8" spans="1:14" x14ac:dyDescent="0.25">
      <c r="A8" s="243">
        <f>+Uitgangspunten!B44</f>
        <v>21000</v>
      </c>
      <c r="B8" s="203" t="str">
        <f>+Uitgangspunten!A44</f>
        <v>Aantal verkochte auto's dat wordt gesubsidieerd om emissievrij te kunnen rijden - gemiddeld 2017 tm 2020.  Aantallen tm 2016 opgenomen in tabblad 'Vervoer'.</v>
      </c>
    </row>
    <row r="9" spans="1:14" x14ac:dyDescent="0.25">
      <c r="A9" s="244">
        <f>+Uitgangspunten!B45</f>
        <v>15000</v>
      </c>
      <c r="B9" s="203" t="str">
        <f>+Uitgangspunten!A45</f>
        <v>Totaal aan subsidie per auto die emissievrij kan rijden over de gehele levensduur  (incl. BPM vrijstelling, BTW vrijstelling, VAMIL, MIA, minder bijtelling, regionale/stedelijke subsidies etc). Gemiddeld 2016-2020</v>
      </c>
      <c r="L9" s="65" t="s">
        <v>82</v>
      </c>
    </row>
    <row r="10" spans="1:14" x14ac:dyDescent="0.25">
      <c r="A10" s="203"/>
      <c r="I10" s="1107"/>
    </row>
    <row r="11" spans="1:14" x14ac:dyDescent="0.25">
      <c r="A11" s="203" t="s">
        <v>284</v>
      </c>
      <c r="B11" s="83"/>
      <c r="C11" s="83"/>
      <c r="D11" s="83"/>
      <c r="E11" s="83"/>
      <c r="F11" s="83"/>
      <c r="G11" s="83"/>
      <c r="H11" s="83"/>
      <c r="I11" s="144"/>
      <c r="J11" s="83"/>
      <c r="K11" s="83"/>
      <c r="L11" s="83"/>
      <c r="M11" s="83"/>
      <c r="N11" s="83"/>
    </row>
    <row r="12" spans="1:14" x14ac:dyDescent="0.25">
      <c r="A12" s="203"/>
      <c r="B12" s="83"/>
      <c r="C12" s="83"/>
      <c r="D12" s="83"/>
      <c r="E12" s="83"/>
      <c r="F12" s="83"/>
      <c r="G12" s="83"/>
      <c r="H12" s="83"/>
      <c r="I12" s="144"/>
      <c r="J12" s="83"/>
      <c r="K12" s="83"/>
      <c r="L12" s="83"/>
      <c r="M12" s="83"/>
      <c r="N12" s="83"/>
    </row>
    <row r="13" spans="1:14" x14ac:dyDescent="0.25">
      <c r="A13" s="160" t="s">
        <v>873</v>
      </c>
      <c r="B13" s="160">
        <v>2010</v>
      </c>
      <c r="C13" s="160">
        <v>2011</v>
      </c>
      <c r="D13" s="210">
        <v>2012</v>
      </c>
      <c r="E13" s="160">
        <v>2013</v>
      </c>
      <c r="F13" s="160">
        <v>2014</v>
      </c>
      <c r="G13" s="160">
        <v>2015</v>
      </c>
      <c r="H13" s="160">
        <v>2016</v>
      </c>
      <c r="I13" s="144"/>
      <c r="J13" s="83"/>
      <c r="K13" s="83"/>
      <c r="L13" s="83"/>
      <c r="M13" s="83"/>
      <c r="N13" s="83"/>
    </row>
    <row r="14" spans="1:14" x14ac:dyDescent="0.25">
      <c r="A14" s="136" t="s">
        <v>870</v>
      </c>
      <c r="B14" s="1197" t="s">
        <v>863</v>
      </c>
      <c r="C14" s="1197" t="s">
        <v>864</v>
      </c>
      <c r="D14" s="1197" t="s">
        <v>865</v>
      </c>
      <c r="E14" s="1197" t="s">
        <v>866</v>
      </c>
      <c r="F14" s="1197" t="s">
        <v>867</v>
      </c>
      <c r="G14" s="1197" t="s">
        <v>868</v>
      </c>
      <c r="H14" s="1198"/>
      <c r="N14" s="83"/>
    </row>
    <row r="15" spans="1:14" x14ac:dyDescent="0.25">
      <c r="A15" s="136" t="s">
        <v>871</v>
      </c>
      <c r="B15" s="1197"/>
      <c r="C15" s="1197"/>
      <c r="D15" s="1197"/>
      <c r="E15" s="1199">
        <v>46111</v>
      </c>
      <c r="F15" s="1199">
        <v>90275</v>
      </c>
      <c r="G15" s="1197" t="s">
        <v>869</v>
      </c>
      <c r="H15" s="1199">
        <v>115223</v>
      </c>
    </row>
    <row r="16" spans="1:14" x14ac:dyDescent="0.25">
      <c r="A16" s="237" t="s">
        <v>874</v>
      </c>
      <c r="B16" s="13" t="s">
        <v>861</v>
      </c>
    </row>
    <row r="17" spans="1:18" x14ac:dyDescent="0.25">
      <c r="A17" s="237" t="s">
        <v>875</v>
      </c>
      <c r="F17" s="102"/>
      <c r="G17" s="1200"/>
      <c r="H17" s="1200"/>
      <c r="I17" s="1200"/>
      <c r="J17" s="1108"/>
      <c r="K17" s="1108"/>
      <c r="L17" s="1109"/>
      <c r="M17" s="1108"/>
    </row>
    <row r="18" spans="1:18" x14ac:dyDescent="0.25">
      <c r="A18" s="237"/>
      <c r="F18" s="102"/>
      <c r="G18" s="1200"/>
      <c r="H18" s="1200"/>
      <c r="I18" s="1200"/>
      <c r="J18" s="1108"/>
      <c r="K18" s="1108"/>
      <c r="L18" s="1109"/>
      <c r="M18" s="1108"/>
    </row>
    <row r="19" spans="1:18" ht="90" x14ac:dyDescent="0.25">
      <c r="A19" s="136"/>
      <c r="B19" s="1136" t="s">
        <v>278</v>
      </c>
      <c r="C19" s="1456" t="s">
        <v>872</v>
      </c>
      <c r="D19" s="1136" t="s">
        <v>987</v>
      </c>
      <c r="E19" s="1457" t="s">
        <v>240</v>
      </c>
      <c r="F19" s="83"/>
    </row>
    <row r="20" spans="1:18" x14ac:dyDescent="0.25">
      <c r="A20" s="245">
        <v>2008</v>
      </c>
      <c r="B20" s="165"/>
      <c r="C20" s="1201"/>
      <c r="D20" s="136"/>
      <c r="E20" s="246">
        <v>55</v>
      </c>
      <c r="F20" s="1202" t="s">
        <v>988</v>
      </c>
    </row>
    <row r="21" spans="1:18" x14ac:dyDescent="0.25">
      <c r="A21" s="245">
        <v>2009</v>
      </c>
      <c r="B21" s="165"/>
      <c r="C21" s="1201"/>
      <c r="D21" s="136"/>
      <c r="E21" s="246">
        <v>364</v>
      </c>
      <c r="F21" s="1202" t="s">
        <v>988</v>
      </c>
      <c r="G21" s="83"/>
    </row>
    <row r="22" spans="1:18" x14ac:dyDescent="0.25">
      <c r="A22" s="245">
        <v>2010</v>
      </c>
      <c r="B22" s="165"/>
      <c r="C22" s="1201">
        <v>10000</v>
      </c>
      <c r="D22" s="1203"/>
      <c r="E22" s="246">
        <v>719</v>
      </c>
      <c r="F22" s="1202" t="s">
        <v>988</v>
      </c>
      <c r="G22" s="83"/>
    </row>
    <row r="23" spans="1:18" ht="15.75" thickBot="1" x14ac:dyDescent="0.3">
      <c r="A23" s="245">
        <v>2011</v>
      </c>
      <c r="B23" s="1111">
        <f t="shared" ref="B23:B28" si="0">+C23-C22</f>
        <v>5000</v>
      </c>
      <c r="C23" s="1201">
        <v>15000</v>
      </c>
      <c r="D23" s="1203"/>
      <c r="E23" s="246">
        <v>1177</v>
      </c>
      <c r="F23" s="1202" t="s">
        <v>988</v>
      </c>
      <c r="G23" s="83"/>
    </row>
    <row r="24" spans="1:18" ht="15.75" thickBot="1" x14ac:dyDescent="0.3">
      <c r="A24" s="245">
        <v>2012</v>
      </c>
      <c r="B24" s="1111">
        <f t="shared" si="0"/>
        <v>7000</v>
      </c>
      <c r="C24" s="1201">
        <v>22000</v>
      </c>
      <c r="D24" s="1203"/>
      <c r="E24" s="246">
        <v>1425</v>
      </c>
      <c r="F24" s="247">
        <f>SUM(E20:E24)</f>
        <v>3740</v>
      </c>
      <c r="G24" s="208" t="s">
        <v>244</v>
      </c>
      <c r="H24" s="83"/>
      <c r="I24" s="1202" t="s">
        <v>988</v>
      </c>
      <c r="J24" s="83"/>
    </row>
    <row r="25" spans="1:18" x14ac:dyDescent="0.25">
      <c r="A25" s="245">
        <v>2013</v>
      </c>
      <c r="B25" s="1111">
        <f t="shared" si="0"/>
        <v>24111</v>
      </c>
      <c r="C25" s="248">
        <v>46111</v>
      </c>
      <c r="D25" s="1203"/>
      <c r="E25" s="230">
        <v>1535</v>
      </c>
      <c r="G25" s="83"/>
      <c r="H25" s="83"/>
      <c r="I25" s="1202" t="s">
        <v>988</v>
      </c>
      <c r="J25" s="83"/>
      <c r="M25" s="83"/>
      <c r="N25" s="83"/>
      <c r="O25" s="83"/>
      <c r="P25" s="83"/>
      <c r="Q25" s="83"/>
      <c r="R25" s="83"/>
    </row>
    <row r="26" spans="1:18" x14ac:dyDescent="0.25">
      <c r="A26" s="245">
        <v>2014</v>
      </c>
      <c r="B26" s="1111">
        <f t="shared" si="0"/>
        <v>44164</v>
      </c>
      <c r="C26" s="248">
        <v>90275</v>
      </c>
      <c r="D26" s="1203" t="s">
        <v>986</v>
      </c>
      <c r="E26" s="230">
        <f t="shared" ref="E26:E32" si="1">+(C26-C25)*A$9/10^6</f>
        <v>662.46</v>
      </c>
      <c r="G26" s="83" t="s">
        <v>216</v>
      </c>
      <c r="H26" s="83"/>
      <c r="M26" s="83"/>
      <c r="N26" s="83"/>
      <c r="O26" s="83"/>
      <c r="P26" s="83"/>
      <c r="Q26" s="83"/>
      <c r="R26" s="83"/>
    </row>
    <row r="27" spans="1:18" x14ac:dyDescent="0.25">
      <c r="A27" s="245">
        <v>2015</v>
      </c>
      <c r="B27" s="1111">
        <f t="shared" si="0"/>
        <v>13551</v>
      </c>
      <c r="C27" s="248">
        <v>103826</v>
      </c>
      <c r="D27" s="1203" t="s">
        <v>986</v>
      </c>
      <c r="E27" s="230">
        <f t="shared" si="1"/>
        <v>203.26499999999999</v>
      </c>
      <c r="G27" s="1204">
        <f>+F24+E25+E26</f>
        <v>5937.46</v>
      </c>
      <c r="H27" s="83" t="s">
        <v>860</v>
      </c>
      <c r="M27" s="83"/>
      <c r="N27" s="83"/>
      <c r="O27" s="83"/>
      <c r="P27" s="83"/>
      <c r="Q27" s="83"/>
      <c r="R27" s="83"/>
    </row>
    <row r="28" spans="1:18" x14ac:dyDescent="0.25">
      <c r="A28" s="245">
        <v>2016</v>
      </c>
      <c r="B28" s="1111">
        <f t="shared" si="0"/>
        <v>11397</v>
      </c>
      <c r="C28" s="248">
        <v>115223</v>
      </c>
      <c r="D28" s="1203" t="s">
        <v>986</v>
      </c>
      <c r="E28" s="230">
        <f t="shared" si="1"/>
        <v>170.95500000000001</v>
      </c>
      <c r="G28" s="1073">
        <f>SUM(E20:E28)</f>
        <v>6311.68</v>
      </c>
      <c r="H28" s="83" t="s">
        <v>862</v>
      </c>
      <c r="M28" s="83"/>
      <c r="N28" s="83"/>
      <c r="O28" s="83"/>
      <c r="P28" s="83"/>
      <c r="Q28" s="83"/>
      <c r="R28" s="83"/>
    </row>
    <row r="29" spans="1:18" x14ac:dyDescent="0.25">
      <c r="A29" s="245">
        <v>2017</v>
      </c>
      <c r="B29" s="248">
        <f>+A$8</f>
        <v>21000</v>
      </c>
      <c r="C29" s="248">
        <f>+C28+B29</f>
        <v>136223</v>
      </c>
      <c r="D29" s="1203" t="s">
        <v>986</v>
      </c>
      <c r="E29" s="230">
        <f t="shared" si="1"/>
        <v>315</v>
      </c>
      <c r="M29" s="83"/>
      <c r="N29" s="83"/>
      <c r="O29" s="83"/>
      <c r="P29" s="83"/>
    </row>
    <row r="30" spans="1:18" x14ac:dyDescent="0.25">
      <c r="A30" s="245">
        <v>2018</v>
      </c>
      <c r="B30" s="248">
        <f>+A$8</f>
        <v>21000</v>
      </c>
      <c r="C30" s="248">
        <f>+C29+B30</f>
        <v>157223</v>
      </c>
      <c r="D30" s="1203" t="s">
        <v>986</v>
      </c>
      <c r="E30" s="230">
        <f t="shared" si="1"/>
        <v>315</v>
      </c>
    </row>
    <row r="31" spans="1:18" ht="15.75" thickBot="1" x14ac:dyDescent="0.3">
      <c r="A31" s="245">
        <v>2019</v>
      </c>
      <c r="B31" s="248">
        <f>+A$8</f>
        <v>21000</v>
      </c>
      <c r="C31" s="248">
        <f>+C30+B31</f>
        <v>178223</v>
      </c>
      <c r="D31" s="1203" t="s">
        <v>986</v>
      </c>
      <c r="E31" s="230">
        <f t="shared" si="1"/>
        <v>315</v>
      </c>
    </row>
    <row r="32" spans="1:18" ht="15.75" thickBot="1" x14ac:dyDescent="0.3">
      <c r="A32" s="245">
        <v>2020</v>
      </c>
      <c r="B32" s="248">
        <f>+A$8</f>
        <v>21000</v>
      </c>
      <c r="C32" s="248">
        <f>+C31+B32</f>
        <v>199223</v>
      </c>
      <c r="D32" s="1203" t="s">
        <v>986</v>
      </c>
      <c r="E32" s="230">
        <f t="shared" si="1"/>
        <v>315</v>
      </c>
      <c r="F32" s="247">
        <f>SUM(E25:E32)</f>
        <v>3831.68</v>
      </c>
      <c r="G32" s="208" t="s">
        <v>197</v>
      </c>
    </row>
    <row r="33" spans="1:11" x14ac:dyDescent="0.25">
      <c r="A33" s="208"/>
      <c r="E33" s="143"/>
      <c r="F33" s="242"/>
      <c r="G33" s="242"/>
      <c r="K33" s="241"/>
    </row>
    <row r="34" spans="1:11" x14ac:dyDescent="0.25">
      <c r="A34" s="208"/>
      <c r="E34" s="143"/>
      <c r="F34" s="242"/>
      <c r="G34" s="242"/>
      <c r="K34" s="241"/>
    </row>
    <row r="35" spans="1:11" x14ac:dyDescent="0.25">
      <c r="A35" s="65" t="s">
        <v>180</v>
      </c>
    </row>
    <row r="55" spans="1:53" x14ac:dyDescent="0.25">
      <c r="U55" s="306"/>
      <c r="V55" s="306"/>
      <c r="W55" s="306"/>
      <c r="X55" s="306"/>
      <c r="Y55" s="306"/>
      <c r="Z55" s="306"/>
      <c r="AA55" s="306"/>
      <c r="AB55" s="306"/>
      <c r="AC55" s="306"/>
      <c r="AD55" s="306"/>
      <c r="AE55" s="306"/>
      <c r="AF55" s="306"/>
      <c r="AG55" s="306"/>
      <c r="AH55" s="306"/>
      <c r="AI55" s="306"/>
      <c r="AJ55" s="306"/>
      <c r="AK55" s="306"/>
      <c r="AL55" s="306"/>
      <c r="AM55" s="306"/>
      <c r="AN55" s="306"/>
      <c r="AO55" s="306"/>
      <c r="AP55" s="306"/>
      <c r="AQ55" s="306"/>
      <c r="AR55" s="306"/>
      <c r="AS55" s="306"/>
      <c r="AT55" s="306"/>
      <c r="AU55" s="306"/>
      <c r="AV55" s="306"/>
      <c r="AW55" s="306"/>
      <c r="AX55" s="306"/>
      <c r="AY55" s="306"/>
      <c r="AZ55" s="306"/>
      <c r="BA55" s="306"/>
    </row>
    <row r="63" spans="1:53" x14ac:dyDescent="0.25">
      <c r="A63" s="203" t="s">
        <v>174</v>
      </c>
    </row>
    <row r="64" spans="1:53" x14ac:dyDescent="0.25">
      <c r="A64" s="208"/>
      <c r="E64" s="143"/>
      <c r="F64" s="242"/>
    </row>
    <row r="65" spans="1:53" ht="15.75" x14ac:dyDescent="0.25">
      <c r="A65" s="957" t="s">
        <v>531</v>
      </c>
      <c r="B65" s="957"/>
      <c r="C65" s="957"/>
      <c r="D65" s="957"/>
      <c r="E65" s="957"/>
      <c r="F65" s="957"/>
      <c r="G65" s="957"/>
      <c r="H65" s="957"/>
      <c r="I65" s="957"/>
      <c r="J65" s="957"/>
      <c r="K65" s="957"/>
      <c r="L65" s="957"/>
    </row>
    <row r="66" spans="1:53" x14ac:dyDescent="0.25">
      <c r="A66" s="1401" t="s">
        <v>1103</v>
      </c>
      <c r="B66" s="83"/>
      <c r="C66" s="83"/>
      <c r="D66" s="83"/>
      <c r="E66" s="83"/>
      <c r="F66" s="83"/>
      <c r="G66" s="83"/>
      <c r="H66" s="83"/>
      <c r="I66" s="83"/>
    </row>
    <row r="67" spans="1:53" x14ac:dyDescent="0.25">
      <c r="A67" s="1399" t="s">
        <v>262</v>
      </c>
      <c r="F67" s="249"/>
      <c r="K67" s="1385"/>
      <c r="M67" s="305"/>
      <c r="N67" s="305"/>
      <c r="O67" s="305"/>
      <c r="P67" s="305"/>
    </row>
    <row r="68" spans="1:53" x14ac:dyDescent="0.25">
      <c r="A68" s="1399" t="s">
        <v>1117</v>
      </c>
      <c r="F68" s="249"/>
      <c r="M68" s="305"/>
      <c r="N68" s="305"/>
      <c r="O68" s="305"/>
      <c r="P68" s="305"/>
    </row>
    <row r="69" spans="1:53" x14ac:dyDescent="0.25">
      <c r="B69" s="1441"/>
      <c r="C69" s="1508"/>
      <c r="D69" s="1508"/>
      <c r="E69" s="1508"/>
      <c r="F69" s="1509" t="s">
        <v>1086</v>
      </c>
      <c r="G69" s="1510" t="s">
        <v>306</v>
      </c>
      <c r="H69" s="1511" t="s">
        <v>304</v>
      </c>
      <c r="I69" s="1512" t="s">
        <v>302</v>
      </c>
      <c r="M69" s="305"/>
      <c r="N69" s="305"/>
      <c r="O69" s="305"/>
      <c r="P69" s="305"/>
    </row>
    <row r="70" spans="1:53" x14ac:dyDescent="0.25">
      <c r="B70" s="1461"/>
      <c r="C70" s="1405"/>
      <c r="D70" s="1406" t="s">
        <v>1110</v>
      </c>
      <c r="E70" s="1407" t="s">
        <v>1087</v>
      </c>
      <c r="F70" s="1410"/>
      <c r="G70" s="1409"/>
      <c r="H70" s="1411">
        <v>0.6</v>
      </c>
      <c r="I70" s="1462">
        <f>(1-H70)</f>
        <v>0.4</v>
      </c>
      <c r="M70" s="305"/>
      <c r="N70" s="305"/>
      <c r="O70" s="305"/>
      <c r="P70" s="305"/>
    </row>
    <row r="71" spans="1:53" x14ac:dyDescent="0.25">
      <c r="B71" s="1463"/>
      <c r="C71" s="563"/>
      <c r="D71" s="1334" t="s">
        <v>1088</v>
      </c>
      <c r="E71" s="1335" t="s">
        <v>261</v>
      </c>
      <c r="F71" s="1337">
        <v>34.700000000000003</v>
      </c>
      <c r="G71" s="1336">
        <v>21.3</v>
      </c>
      <c r="H71" s="1335">
        <v>36</v>
      </c>
      <c r="I71" s="1464">
        <v>32</v>
      </c>
      <c r="M71" s="305"/>
      <c r="N71" s="305"/>
      <c r="O71" s="305"/>
      <c r="P71" s="305"/>
    </row>
    <row r="72" spans="1:53" x14ac:dyDescent="0.25">
      <c r="B72" s="1461"/>
      <c r="C72" s="1405"/>
      <c r="D72" s="1406" t="s">
        <v>1089</v>
      </c>
      <c r="E72" s="1407" t="s">
        <v>301</v>
      </c>
      <c r="F72" s="1408">
        <v>0.84</v>
      </c>
      <c r="G72" s="1409">
        <v>0.8</v>
      </c>
      <c r="H72" s="1407">
        <v>0.84</v>
      </c>
      <c r="I72" s="1465">
        <v>0.72</v>
      </c>
      <c r="M72" s="305"/>
      <c r="N72" s="305"/>
      <c r="O72" s="305"/>
      <c r="P72" s="305"/>
    </row>
    <row r="73" spans="1:53" x14ac:dyDescent="0.25">
      <c r="B73" s="1466"/>
      <c r="C73" s="1412"/>
      <c r="D73" s="1413" t="s">
        <v>1111</v>
      </c>
      <c r="E73" s="1414" t="s">
        <v>1090</v>
      </c>
      <c r="F73" s="1415">
        <v>0.64</v>
      </c>
      <c r="G73" s="1470">
        <v>0.57899999999999996</v>
      </c>
      <c r="H73" s="1417">
        <v>0.41</v>
      </c>
      <c r="I73" s="1416">
        <v>0.49</v>
      </c>
      <c r="M73" s="305"/>
      <c r="N73" s="305"/>
      <c r="O73" s="305"/>
      <c r="P73" s="305"/>
    </row>
    <row r="74" spans="1:53" x14ac:dyDescent="0.25">
      <c r="B74" s="1461"/>
      <c r="C74" s="1405"/>
      <c r="D74" s="1418"/>
      <c r="E74" s="1419"/>
      <c r="F74" s="1420" t="s">
        <v>1107</v>
      </c>
      <c r="G74" s="1421" t="s">
        <v>1106</v>
      </c>
      <c r="H74" s="1422" t="s">
        <v>1104</v>
      </c>
      <c r="I74" s="1421" t="s">
        <v>1105</v>
      </c>
      <c r="M74" s="305"/>
      <c r="N74" s="305"/>
      <c r="O74" s="305"/>
      <c r="P74" s="305"/>
    </row>
    <row r="75" spans="1:53" x14ac:dyDescent="0.25">
      <c r="B75" s="838" t="s">
        <v>892</v>
      </c>
      <c r="C75" s="1404" t="s">
        <v>1113</v>
      </c>
      <c r="G75" s="195"/>
      <c r="T75" s="503"/>
      <c r="U75" s="1402"/>
      <c r="V75" s="1402"/>
      <c r="W75" s="1402"/>
      <c r="X75" s="1402"/>
      <c r="Y75" s="1402"/>
      <c r="Z75" s="1402"/>
      <c r="AA75" s="1402"/>
      <c r="AB75" s="1402"/>
      <c r="AC75" s="1402"/>
      <c r="AD75" s="1402"/>
      <c r="AE75" s="1402"/>
      <c r="AF75" s="1402"/>
      <c r="AG75" s="1402"/>
      <c r="AH75" s="1402"/>
      <c r="AI75" s="1402"/>
      <c r="AJ75" s="1402"/>
      <c r="AK75" s="1402"/>
      <c r="AL75" s="1402"/>
      <c r="AM75" s="1402"/>
      <c r="AN75" s="1402"/>
      <c r="AO75" s="1402"/>
      <c r="AP75" s="1402"/>
      <c r="AQ75" s="1402"/>
      <c r="AR75" s="1402"/>
      <c r="AS75" s="1402"/>
      <c r="AT75" s="1402"/>
      <c r="AU75" s="1402"/>
      <c r="AV75" s="1402"/>
      <c r="AW75" s="1402"/>
      <c r="AX75" s="1402"/>
      <c r="AY75" s="1402"/>
      <c r="AZ75" s="1402"/>
      <c r="BA75" s="1402"/>
    </row>
    <row r="76" spans="1:53" x14ac:dyDescent="0.25">
      <c r="B76" s="838" t="s">
        <v>1112</v>
      </c>
      <c r="C76" s="1404" t="s">
        <v>1108</v>
      </c>
      <c r="G76" s="195"/>
      <c r="H76" s="250"/>
      <c r="T76" s="1386"/>
      <c r="U76" s="1403"/>
      <c r="V76" s="1403"/>
      <c r="W76" s="1403"/>
      <c r="X76" s="1403"/>
      <c r="Y76" s="1403"/>
      <c r="Z76" s="1403"/>
      <c r="AA76" s="1403"/>
      <c r="AB76" s="1403"/>
      <c r="AC76" s="1403"/>
      <c r="AD76" s="1403"/>
      <c r="AE76" s="1403"/>
      <c r="AF76" s="1403"/>
      <c r="AG76" s="1403"/>
      <c r="AH76" s="1403"/>
      <c r="AI76" s="1403"/>
      <c r="AJ76" s="1403"/>
      <c r="AK76" s="1403"/>
      <c r="AL76" s="1403"/>
      <c r="AM76" s="1403"/>
      <c r="AN76" s="1403"/>
      <c r="AO76" s="1403"/>
      <c r="AP76" s="1403"/>
      <c r="AQ76" s="1403"/>
      <c r="AR76" s="1403"/>
      <c r="AS76" s="1403"/>
      <c r="AT76" s="1403"/>
      <c r="AU76" s="1403"/>
      <c r="AV76" s="1403"/>
      <c r="AW76" s="1403"/>
      <c r="AX76" s="1403"/>
      <c r="AY76" s="1403"/>
      <c r="AZ76" s="1403"/>
      <c r="BA76" s="1403"/>
    </row>
    <row r="77" spans="1:53" x14ac:dyDescent="0.25">
      <c r="B77" s="1399" t="s">
        <v>1133</v>
      </c>
      <c r="H77" s="250"/>
      <c r="S77" s="503"/>
      <c r="T77" s="211"/>
      <c r="U77" s="1403"/>
      <c r="V77" s="1403"/>
      <c r="W77" s="1403"/>
      <c r="X77" s="1403"/>
      <c r="Y77" s="1403"/>
      <c r="Z77" s="1403"/>
      <c r="AA77" s="1403"/>
      <c r="AB77" s="1403"/>
      <c r="AC77" s="1403"/>
      <c r="AD77" s="1403"/>
      <c r="AE77" s="1403"/>
      <c r="AF77" s="1403"/>
      <c r="AG77" s="1403"/>
      <c r="AH77" s="1403"/>
      <c r="AI77" s="1403"/>
      <c r="AJ77" s="1403"/>
      <c r="AK77" s="1403"/>
      <c r="AL77" s="1403"/>
      <c r="AM77" s="1403"/>
      <c r="AN77" s="1403"/>
      <c r="AO77" s="1403"/>
      <c r="AP77" s="1403"/>
      <c r="AQ77" s="1403"/>
      <c r="AR77" s="1403"/>
      <c r="AS77" s="1403"/>
      <c r="AT77" s="1403"/>
      <c r="AU77" s="1403"/>
      <c r="AV77" s="1403"/>
      <c r="AW77" s="1403"/>
      <c r="AX77" s="1403"/>
      <c r="AY77" s="1403"/>
      <c r="AZ77" s="1403"/>
      <c r="BA77" s="1403"/>
    </row>
    <row r="78" spans="1:53" ht="14.25" customHeight="1" x14ac:dyDescent="0.25">
      <c r="A78" s="1399"/>
      <c r="G78" s="195"/>
      <c r="H78" s="250"/>
      <c r="T78" s="211"/>
      <c r="U78" s="1403"/>
      <c r="V78" s="1403"/>
      <c r="W78" s="1403"/>
      <c r="X78" s="1403"/>
      <c r="Y78" s="1403"/>
      <c r="Z78" s="1403"/>
      <c r="AA78" s="1403"/>
      <c r="AB78" s="1403"/>
      <c r="AC78" s="1403"/>
      <c r="AD78" s="1403"/>
      <c r="AE78" s="1403"/>
      <c r="AF78" s="1403"/>
      <c r="AG78" s="1403"/>
      <c r="AH78" s="1403"/>
      <c r="AI78" s="1403"/>
      <c r="AJ78" s="1403"/>
      <c r="AK78" s="1403"/>
      <c r="AL78" s="1403"/>
      <c r="AM78" s="1403"/>
      <c r="AN78" s="1403"/>
      <c r="AO78" s="1403"/>
      <c r="AP78" s="1403"/>
      <c r="AQ78" s="1403"/>
      <c r="AR78" s="1403"/>
      <c r="AS78" s="1403"/>
      <c r="AT78" s="1403"/>
      <c r="AU78" s="1403"/>
      <c r="AV78" s="1403"/>
      <c r="AW78" s="1403"/>
      <c r="AX78" s="1403"/>
      <c r="AY78" s="1403"/>
      <c r="AZ78" s="1403"/>
      <c r="BA78" s="1403"/>
    </row>
    <row r="79" spans="1:53" ht="75" customHeight="1" x14ac:dyDescent="0.25">
      <c r="C79" s="1441"/>
      <c r="D79" s="1455" t="s">
        <v>1114</v>
      </c>
      <c r="E79" s="1431" t="s">
        <v>1115</v>
      </c>
      <c r="F79" s="1431" t="s">
        <v>1101</v>
      </c>
      <c r="G79" s="1448" t="s">
        <v>1098</v>
      </c>
      <c r="H79" s="1431" t="s">
        <v>1099</v>
      </c>
      <c r="I79" s="1448" t="s">
        <v>1100</v>
      </c>
      <c r="J79" s="1432" t="s">
        <v>1102</v>
      </c>
      <c r="K79" s="1433" t="s">
        <v>1126</v>
      </c>
      <c r="L79" s="1442" t="s">
        <v>1116</v>
      </c>
      <c r="M79" s="651"/>
      <c r="N79" s="102"/>
    </row>
    <row r="80" spans="1:53" x14ac:dyDescent="0.25">
      <c r="C80" s="1446">
        <v>2008</v>
      </c>
      <c r="D80" s="1447">
        <v>0.1</v>
      </c>
      <c r="E80" s="1458">
        <f>+D80/3.6</f>
        <v>2.777777777777778E-2</v>
      </c>
      <c r="F80" s="1449">
        <f t="shared" ref="F80:F107" si="2">H80*(H$71/F$71)</f>
        <v>1.8095301923463574</v>
      </c>
      <c r="G80" s="1450">
        <f t="shared" ref="G80:G107" si="3">I80*(I$71/G$71)</f>
        <v>1.7469156021399717</v>
      </c>
      <c r="H80" s="1449">
        <f t="shared" ref="H80:H107" si="4">$D80*1000 / (H$71+((1-$H$70)/$H$70)*I$71)</f>
        <v>1.7441860465116279</v>
      </c>
      <c r="I80" s="1450">
        <f t="shared" ref="I80:I107" si="5">$H80*((1-$H$70)/$H$70)</f>
        <v>1.1627906976744187</v>
      </c>
      <c r="J80" s="1453">
        <f t="shared" ref="J80:J107" si="6">F80*F$73+G80*G$73</f>
        <v>2.169563456740712</v>
      </c>
      <c r="K80" s="1454">
        <f t="shared" ref="K80:K107" si="7">H80*H$73+I80*I$73</f>
        <v>1.2848837209302326</v>
      </c>
      <c r="L80" s="1467">
        <f t="shared" ref="L80:L107" si="8">J80-K80</f>
        <v>0.88467973581047943</v>
      </c>
      <c r="M80" s="1384"/>
      <c r="N80" s="102"/>
    </row>
    <row r="81" spans="3:14" x14ac:dyDescent="0.25">
      <c r="C81" s="1443">
        <v>2009</v>
      </c>
      <c r="D81" s="1435">
        <f>+(D82-D80)/2+D80</f>
        <v>4.8499999999999996</v>
      </c>
      <c r="E81" s="1459">
        <f>+D81/3.6</f>
        <v>1.3472222222222221</v>
      </c>
      <c r="F81" s="1423">
        <f t="shared" si="2"/>
        <v>87.762214328798336</v>
      </c>
      <c r="G81" s="1451">
        <f t="shared" si="3"/>
        <v>84.725406703788622</v>
      </c>
      <c r="H81" s="1423">
        <f t="shared" si="4"/>
        <v>84.593023255813947</v>
      </c>
      <c r="I81" s="1451">
        <f t="shared" si="5"/>
        <v>56.395348837209305</v>
      </c>
      <c r="J81" s="1424">
        <f t="shared" si="6"/>
        <v>105.22382765192455</v>
      </c>
      <c r="K81" s="1425">
        <f t="shared" si="7"/>
        <v>62.316860465116278</v>
      </c>
      <c r="L81" s="1468">
        <f t="shared" si="8"/>
        <v>42.906967186808274</v>
      </c>
      <c r="M81" s="1384"/>
      <c r="N81" s="102"/>
    </row>
    <row r="82" spans="3:14" x14ac:dyDescent="0.25">
      <c r="C82" s="1443">
        <v>2010</v>
      </c>
      <c r="D82" s="1434">
        <v>9.6</v>
      </c>
      <c r="E82" s="1459">
        <f>+D82/3.6</f>
        <v>2.6666666666666665</v>
      </c>
      <c r="F82" s="1423">
        <f t="shared" si="2"/>
        <v>173.71489846525031</v>
      </c>
      <c r="G82" s="1451">
        <f t="shared" si="3"/>
        <v>167.70389780543726</v>
      </c>
      <c r="H82" s="1423">
        <f t="shared" si="4"/>
        <v>167.44186046511626</v>
      </c>
      <c r="I82" s="1451">
        <f t="shared" si="5"/>
        <v>111.62790697674419</v>
      </c>
      <c r="J82" s="1424">
        <f t="shared" si="6"/>
        <v>208.27809184710839</v>
      </c>
      <c r="K82" s="1425">
        <f t="shared" si="7"/>
        <v>123.34883720930232</v>
      </c>
      <c r="L82" s="1468">
        <f t="shared" si="8"/>
        <v>84.929254637806068</v>
      </c>
      <c r="M82" s="1384"/>
      <c r="N82" s="102"/>
    </row>
    <row r="83" spans="3:14" x14ac:dyDescent="0.25">
      <c r="C83" s="1443">
        <v>2011</v>
      </c>
      <c r="D83" s="1436">
        <f>+(D84-D82)/2+D82</f>
        <v>11.5</v>
      </c>
      <c r="E83" s="1459">
        <f>+D83/3.6</f>
        <v>3.1944444444444442</v>
      </c>
      <c r="F83" s="1423">
        <f t="shared" si="2"/>
        <v>208.09597211983109</v>
      </c>
      <c r="G83" s="1451">
        <f t="shared" si="3"/>
        <v>200.89529424609674</v>
      </c>
      <c r="H83" s="1423">
        <f t="shared" si="4"/>
        <v>200.58139534883719</v>
      </c>
      <c r="I83" s="1451">
        <f t="shared" si="5"/>
        <v>133.72093023255815</v>
      </c>
      <c r="J83" s="1424">
        <f t="shared" si="6"/>
        <v>249.49979752518192</v>
      </c>
      <c r="K83" s="1425">
        <f t="shared" si="7"/>
        <v>147.76162790697674</v>
      </c>
      <c r="L83" s="1468">
        <f t="shared" si="8"/>
        <v>101.73816961820518</v>
      </c>
      <c r="M83" s="1384"/>
      <c r="N83" s="102"/>
    </row>
    <row r="84" spans="3:14" ht="15.75" thickBot="1" x14ac:dyDescent="0.3">
      <c r="C84" s="1443">
        <v>2012</v>
      </c>
      <c r="D84" s="1437">
        <f>13.4</f>
        <v>13.4</v>
      </c>
      <c r="E84" s="1459">
        <f t="shared" ref="E84:E107" si="9">+D84/3.6</f>
        <v>3.7222222222222223</v>
      </c>
      <c r="F84" s="1423">
        <f t="shared" si="2"/>
        <v>242.47704577441189</v>
      </c>
      <c r="G84" s="1451">
        <f t="shared" si="3"/>
        <v>234.08669068675621</v>
      </c>
      <c r="H84" s="1423">
        <f t="shared" si="4"/>
        <v>233.72093023255812</v>
      </c>
      <c r="I84" s="1451">
        <f t="shared" si="5"/>
        <v>155.81395348837211</v>
      </c>
      <c r="J84" s="1424">
        <f t="shared" si="6"/>
        <v>290.72150320325545</v>
      </c>
      <c r="K84" s="1425">
        <f t="shared" si="7"/>
        <v>172.17441860465115</v>
      </c>
      <c r="L84" s="1468">
        <f t="shared" si="8"/>
        <v>118.5470845986043</v>
      </c>
      <c r="M84" s="1384"/>
    </row>
    <row r="85" spans="3:14" ht="15.75" thickBot="1" x14ac:dyDescent="0.3">
      <c r="C85" s="1443">
        <v>2013</v>
      </c>
      <c r="D85" s="1434">
        <v>12.9</v>
      </c>
      <c r="E85" s="1459">
        <f t="shared" si="9"/>
        <v>3.5833333333333335</v>
      </c>
      <c r="F85" s="1423">
        <f t="shared" si="2"/>
        <v>233.4293948126801</v>
      </c>
      <c r="G85" s="1451">
        <f t="shared" si="3"/>
        <v>225.35211267605638</v>
      </c>
      <c r="H85" s="1423">
        <f t="shared" si="4"/>
        <v>225</v>
      </c>
      <c r="I85" s="1451">
        <f t="shared" si="5"/>
        <v>150.00000000000003</v>
      </c>
      <c r="J85" s="1424">
        <f t="shared" si="6"/>
        <v>279.87368591955192</v>
      </c>
      <c r="K85" s="1425">
        <f t="shared" si="7"/>
        <v>165.75</v>
      </c>
      <c r="L85" s="1468">
        <f t="shared" si="8"/>
        <v>114.12368591955192</v>
      </c>
      <c r="M85" s="247">
        <f>SUM(L80:L84)</f>
        <v>349.00615577723431</v>
      </c>
      <c r="N85" s="208" t="s">
        <v>244</v>
      </c>
    </row>
    <row r="86" spans="3:14" x14ac:dyDescent="0.25">
      <c r="C86" s="1443">
        <v>2014</v>
      </c>
      <c r="D86" s="1434">
        <v>14.9</v>
      </c>
      <c r="E86" s="1459">
        <f t="shared" si="9"/>
        <v>4.1388888888888893</v>
      </c>
      <c r="F86" s="1423">
        <f t="shared" si="2"/>
        <v>269.61999865960723</v>
      </c>
      <c r="G86" s="1451">
        <f t="shared" si="3"/>
        <v>260.29042471885577</v>
      </c>
      <c r="H86" s="1423">
        <f t="shared" si="4"/>
        <v>259.88372093023253</v>
      </c>
      <c r="I86" s="1451">
        <f t="shared" si="5"/>
        <v>173.25581395348837</v>
      </c>
      <c r="J86" s="1424">
        <f t="shared" si="6"/>
        <v>323.26495505436611</v>
      </c>
      <c r="K86" s="1425">
        <f t="shared" si="7"/>
        <v>191.44767441860463</v>
      </c>
      <c r="L86" s="1468">
        <f t="shared" si="8"/>
        <v>131.81728063576148</v>
      </c>
      <c r="M86" s="240"/>
      <c r="N86" s="102"/>
    </row>
    <row r="87" spans="3:14" x14ac:dyDescent="0.25">
      <c r="C87" s="1443">
        <v>2015</v>
      </c>
      <c r="D87" s="1434">
        <v>13.3</v>
      </c>
      <c r="E87" s="1459">
        <f t="shared" si="9"/>
        <v>3.6944444444444446</v>
      </c>
      <c r="F87" s="1423">
        <f t="shared" si="2"/>
        <v>240.6675155820655</v>
      </c>
      <c r="G87" s="1451">
        <f t="shared" si="3"/>
        <v>232.33977508461621</v>
      </c>
      <c r="H87" s="1423">
        <f t="shared" si="4"/>
        <v>231.97674418604649</v>
      </c>
      <c r="I87" s="1451">
        <f t="shared" si="5"/>
        <v>154.65116279069767</v>
      </c>
      <c r="J87" s="1424">
        <f t="shared" si="6"/>
        <v>288.55193974651468</v>
      </c>
      <c r="K87" s="1425">
        <f t="shared" si="7"/>
        <v>170.8895348837209</v>
      </c>
      <c r="L87" s="1468">
        <f t="shared" si="8"/>
        <v>117.66240486279378</v>
      </c>
      <c r="M87" s="240"/>
      <c r="N87" s="102"/>
    </row>
    <row r="88" spans="3:14" ht="15.75" thickBot="1" x14ac:dyDescent="0.3">
      <c r="C88" s="1443">
        <v>2016</v>
      </c>
      <c r="D88" s="1438">
        <v>14.9</v>
      </c>
      <c r="E88" s="1459">
        <f t="shared" si="9"/>
        <v>4.1388888888888893</v>
      </c>
      <c r="F88" s="1423">
        <f t="shared" si="2"/>
        <v>269.61999865960723</v>
      </c>
      <c r="G88" s="1451">
        <f t="shared" si="3"/>
        <v>260.29042471885577</v>
      </c>
      <c r="H88" s="1423">
        <f t="shared" si="4"/>
        <v>259.88372093023253</v>
      </c>
      <c r="I88" s="1451">
        <f t="shared" si="5"/>
        <v>173.25581395348837</v>
      </c>
      <c r="J88" s="1424">
        <f t="shared" si="6"/>
        <v>323.26495505436611</v>
      </c>
      <c r="K88" s="1425">
        <f t="shared" si="7"/>
        <v>191.44767441860463</v>
      </c>
      <c r="L88" s="1468">
        <f t="shared" si="8"/>
        <v>131.81728063576148</v>
      </c>
      <c r="M88" s="240"/>
      <c r="N88" s="102"/>
    </row>
    <row r="89" spans="3:14" ht="15.75" thickBot="1" x14ac:dyDescent="0.3">
      <c r="C89" s="1443">
        <v>2017</v>
      </c>
      <c r="D89" s="1439">
        <f>+(D$92-D$88)/4+D88</f>
        <v>19.8</v>
      </c>
      <c r="E89" s="1459">
        <f t="shared" si="9"/>
        <v>5.5</v>
      </c>
      <c r="F89" s="1423">
        <f t="shared" si="2"/>
        <v>358.28697808457878</v>
      </c>
      <c r="G89" s="1451">
        <f t="shared" si="3"/>
        <v>345.88928922371434</v>
      </c>
      <c r="H89" s="1423">
        <f t="shared" si="4"/>
        <v>345.3488372093023</v>
      </c>
      <c r="I89" s="1451">
        <f t="shared" si="5"/>
        <v>230.23255813953489</v>
      </c>
      <c r="J89" s="1424">
        <f t="shared" si="6"/>
        <v>429.57356443466097</v>
      </c>
      <c r="K89" s="1425">
        <f t="shared" si="7"/>
        <v>254.40697674418601</v>
      </c>
      <c r="L89" s="1468">
        <f t="shared" si="8"/>
        <v>175.16658769047496</v>
      </c>
      <c r="M89" s="240"/>
      <c r="N89" s="251">
        <f>SUM(L80:L88)</f>
        <v>844.42680783110291</v>
      </c>
    </row>
    <row r="90" spans="3:14" x14ac:dyDescent="0.25">
      <c r="C90" s="1443">
        <v>2018</v>
      </c>
      <c r="D90" s="1439">
        <f>+(D$92-D$88)/4+D89</f>
        <v>24.700000000000003</v>
      </c>
      <c r="E90" s="1459">
        <f t="shared" si="9"/>
        <v>6.8611111111111116</v>
      </c>
      <c r="F90" s="1423">
        <f t="shared" si="2"/>
        <v>446.95395750955032</v>
      </c>
      <c r="G90" s="1451">
        <f t="shared" si="3"/>
        <v>431.48815372857308</v>
      </c>
      <c r="H90" s="1423">
        <f t="shared" si="4"/>
        <v>430.81395348837214</v>
      </c>
      <c r="I90" s="1451">
        <f t="shared" si="5"/>
        <v>287.20930232558146</v>
      </c>
      <c r="J90" s="1424">
        <f t="shared" si="6"/>
        <v>535.88217381495599</v>
      </c>
      <c r="K90" s="1425">
        <f t="shared" si="7"/>
        <v>317.36627906976747</v>
      </c>
      <c r="L90" s="1468">
        <f t="shared" si="8"/>
        <v>218.51589474518852</v>
      </c>
      <c r="M90" s="240"/>
      <c r="N90" s="102"/>
    </row>
    <row r="91" spans="3:14" x14ac:dyDescent="0.25">
      <c r="C91" s="1443">
        <v>2019</v>
      </c>
      <c r="D91" s="1439">
        <f>+(D$92-D$88)/4+D90</f>
        <v>29.6</v>
      </c>
      <c r="E91" s="1459">
        <f t="shared" si="9"/>
        <v>8.2222222222222232</v>
      </c>
      <c r="F91" s="1423">
        <f t="shared" si="2"/>
        <v>535.62093693452175</v>
      </c>
      <c r="G91" s="1451">
        <f t="shared" si="3"/>
        <v>517.08701823343154</v>
      </c>
      <c r="H91" s="1423">
        <f t="shared" si="4"/>
        <v>516.2790697674418</v>
      </c>
      <c r="I91" s="1451">
        <f t="shared" si="5"/>
        <v>344.18604651162792</v>
      </c>
      <c r="J91" s="1424">
        <f t="shared" si="6"/>
        <v>642.19078319525079</v>
      </c>
      <c r="K91" s="1425">
        <f t="shared" si="7"/>
        <v>380.32558139534876</v>
      </c>
      <c r="L91" s="1468">
        <f t="shared" si="8"/>
        <v>261.86520179990202</v>
      </c>
      <c r="M91" s="240"/>
      <c r="N91" s="102"/>
    </row>
    <row r="92" spans="3:14" ht="15.75" thickBot="1" x14ac:dyDescent="0.3">
      <c r="C92" s="1443">
        <v>2020</v>
      </c>
      <c r="D92" s="1438">
        <v>34.5</v>
      </c>
      <c r="E92" s="1459">
        <f t="shared" si="9"/>
        <v>9.5833333333333339</v>
      </c>
      <c r="F92" s="1423">
        <f t="shared" si="2"/>
        <v>624.28791635949324</v>
      </c>
      <c r="G92" s="1451">
        <f t="shared" si="3"/>
        <v>602.68588273829016</v>
      </c>
      <c r="H92" s="1423">
        <f t="shared" si="4"/>
        <v>601.74418604651157</v>
      </c>
      <c r="I92" s="1451">
        <f t="shared" si="5"/>
        <v>401.16279069767444</v>
      </c>
      <c r="J92" s="1424">
        <f t="shared" si="6"/>
        <v>748.4993925755457</v>
      </c>
      <c r="K92" s="1425">
        <f t="shared" si="7"/>
        <v>443.28488372093022</v>
      </c>
      <c r="L92" s="1468">
        <f t="shared" si="8"/>
        <v>305.21450885461547</v>
      </c>
      <c r="M92" s="240"/>
      <c r="N92" s="102"/>
    </row>
    <row r="93" spans="3:14" ht="15.75" thickBot="1" x14ac:dyDescent="0.3">
      <c r="C93" s="1443">
        <v>2021</v>
      </c>
      <c r="D93" s="1439">
        <f>+(D$95-D$92)/3+D92</f>
        <v>34.4</v>
      </c>
      <c r="E93" s="1459">
        <f t="shared" si="9"/>
        <v>9.5555555555555554</v>
      </c>
      <c r="F93" s="1423">
        <f t="shared" si="2"/>
        <v>622.47838616714694</v>
      </c>
      <c r="G93" s="1451">
        <f t="shared" si="3"/>
        <v>600.93896713615027</v>
      </c>
      <c r="H93" s="1423">
        <f t="shared" si="4"/>
        <v>600</v>
      </c>
      <c r="I93" s="1451">
        <f t="shared" si="5"/>
        <v>400.00000000000006</v>
      </c>
      <c r="J93" s="1424">
        <f t="shared" si="6"/>
        <v>746.32982911880504</v>
      </c>
      <c r="K93" s="1425">
        <f t="shared" si="7"/>
        <v>442</v>
      </c>
      <c r="L93" s="1468">
        <f t="shared" si="8"/>
        <v>304.32982911880504</v>
      </c>
      <c r="M93" s="247">
        <f>SUM(L85:L92)</f>
        <v>1456.1828451440497</v>
      </c>
      <c r="N93" s="208" t="s">
        <v>197</v>
      </c>
    </row>
    <row r="94" spans="3:14" x14ac:dyDescent="0.25">
      <c r="C94" s="1443">
        <v>2022</v>
      </c>
      <c r="D94" s="1439">
        <f>+(D$95-D$92)/3+D93</f>
        <v>34.299999999999997</v>
      </c>
      <c r="E94" s="1459">
        <f t="shared" si="9"/>
        <v>9.5277777777777768</v>
      </c>
      <c r="F94" s="1423">
        <f t="shared" si="2"/>
        <v>620.66885597480052</v>
      </c>
      <c r="G94" s="1451">
        <f t="shared" si="3"/>
        <v>599.19205153401015</v>
      </c>
      <c r="H94" s="1423">
        <f t="shared" si="4"/>
        <v>598.25581395348831</v>
      </c>
      <c r="I94" s="1451">
        <f t="shared" si="5"/>
        <v>398.83720930232556</v>
      </c>
      <c r="J94" s="1424">
        <f t="shared" si="6"/>
        <v>744.16026566206415</v>
      </c>
      <c r="K94" s="1425">
        <f t="shared" si="7"/>
        <v>440.71511627906972</v>
      </c>
      <c r="L94" s="1468">
        <f t="shared" si="8"/>
        <v>303.44514938299443</v>
      </c>
      <c r="M94" s="102"/>
      <c r="N94" s="125"/>
    </row>
    <row r="95" spans="3:14" x14ac:dyDescent="0.25">
      <c r="C95" s="1443">
        <v>2023</v>
      </c>
      <c r="D95" s="1438">
        <v>34.200000000000003</v>
      </c>
      <c r="E95" s="1459">
        <f t="shared" si="9"/>
        <v>9.5</v>
      </c>
      <c r="F95" s="1423">
        <f t="shared" si="2"/>
        <v>618.85932578245422</v>
      </c>
      <c r="G95" s="1451">
        <f t="shared" si="3"/>
        <v>597.44513593187025</v>
      </c>
      <c r="H95" s="1423">
        <f t="shared" si="4"/>
        <v>596.51162790697674</v>
      </c>
      <c r="I95" s="1451">
        <f t="shared" si="5"/>
        <v>397.67441860465118</v>
      </c>
      <c r="J95" s="1424">
        <f t="shared" si="6"/>
        <v>741.99070220532349</v>
      </c>
      <c r="K95" s="1425">
        <f t="shared" si="7"/>
        <v>439.43023255813955</v>
      </c>
      <c r="L95" s="1468">
        <f t="shared" si="8"/>
        <v>302.56046964718394</v>
      </c>
      <c r="M95" s="102"/>
      <c r="N95" s="125"/>
    </row>
    <row r="96" spans="3:14" x14ac:dyDescent="0.25">
      <c r="C96" s="1443">
        <v>2024</v>
      </c>
      <c r="D96" s="1439">
        <f t="shared" ref="D96:D101" si="10">+(D$102-D$95)/7+D95</f>
        <v>34.01428571428572</v>
      </c>
      <c r="E96" s="1459">
        <f t="shared" si="9"/>
        <v>9.4484126984126995</v>
      </c>
      <c r="F96" s="1423">
        <f t="shared" si="2"/>
        <v>615.49876971095398</v>
      </c>
      <c r="G96" s="1451">
        <f t="shared" si="3"/>
        <v>594.20086409932469</v>
      </c>
      <c r="H96" s="1423">
        <f t="shared" si="4"/>
        <v>593.27242524916949</v>
      </c>
      <c r="I96" s="1451">
        <f t="shared" si="5"/>
        <v>395.51495016611301</v>
      </c>
      <c r="J96" s="1424">
        <f t="shared" si="6"/>
        <v>737.9615129285196</v>
      </c>
      <c r="K96" s="1425">
        <f t="shared" si="7"/>
        <v>437.04401993355486</v>
      </c>
      <c r="L96" s="1468">
        <f t="shared" si="8"/>
        <v>300.91749299496473</v>
      </c>
      <c r="M96" s="102"/>
      <c r="N96" s="125"/>
    </row>
    <row r="97" spans="1:22" x14ac:dyDescent="0.25">
      <c r="C97" s="1443">
        <v>2025</v>
      </c>
      <c r="D97" s="1439">
        <f t="shared" si="10"/>
        <v>33.828571428571436</v>
      </c>
      <c r="E97" s="1459">
        <f t="shared" si="9"/>
        <v>9.396825396825399</v>
      </c>
      <c r="F97" s="1423">
        <f t="shared" si="2"/>
        <v>612.13821363945362</v>
      </c>
      <c r="G97" s="1451">
        <f t="shared" si="3"/>
        <v>590.95659226677913</v>
      </c>
      <c r="H97" s="1423">
        <f t="shared" si="4"/>
        <v>590.03322259136223</v>
      </c>
      <c r="I97" s="1451">
        <f t="shared" si="5"/>
        <v>393.35548172757484</v>
      </c>
      <c r="J97" s="1424">
        <f t="shared" si="6"/>
        <v>733.93232365171548</v>
      </c>
      <c r="K97" s="1425">
        <f t="shared" si="7"/>
        <v>434.65780730897018</v>
      </c>
      <c r="L97" s="1468">
        <f t="shared" si="8"/>
        <v>299.2745163427453</v>
      </c>
      <c r="M97" s="102"/>
      <c r="N97" s="125"/>
    </row>
    <row r="98" spans="1:22" x14ac:dyDescent="0.25">
      <c r="C98" s="1443">
        <v>2026</v>
      </c>
      <c r="D98" s="1439">
        <f t="shared" si="10"/>
        <v>33.642857142857153</v>
      </c>
      <c r="E98" s="1459">
        <f t="shared" si="9"/>
        <v>9.3452380952380985</v>
      </c>
      <c r="F98" s="1423">
        <f t="shared" si="2"/>
        <v>608.77765756795327</v>
      </c>
      <c r="G98" s="1451">
        <f t="shared" si="3"/>
        <v>587.71232043423345</v>
      </c>
      <c r="H98" s="1423">
        <f t="shared" si="4"/>
        <v>586.79401993355498</v>
      </c>
      <c r="I98" s="1451">
        <f t="shared" si="5"/>
        <v>391.19601328903667</v>
      </c>
      <c r="J98" s="1424">
        <f t="shared" si="6"/>
        <v>729.90313437491125</v>
      </c>
      <c r="K98" s="1425">
        <f t="shared" si="7"/>
        <v>432.27159468438549</v>
      </c>
      <c r="L98" s="1468">
        <f t="shared" si="8"/>
        <v>297.63153969052576</v>
      </c>
      <c r="M98" s="102"/>
      <c r="N98" s="125"/>
    </row>
    <row r="99" spans="1:22" x14ac:dyDescent="0.25">
      <c r="C99" s="1443">
        <v>2027</v>
      </c>
      <c r="D99" s="1439">
        <f t="shared" si="10"/>
        <v>33.45714285714287</v>
      </c>
      <c r="E99" s="1459">
        <f t="shared" si="9"/>
        <v>9.2936507936507962</v>
      </c>
      <c r="F99" s="1423">
        <f t="shared" si="2"/>
        <v>605.41710149645291</v>
      </c>
      <c r="G99" s="1451">
        <f t="shared" si="3"/>
        <v>584.46804860168788</v>
      </c>
      <c r="H99" s="1423">
        <f t="shared" si="4"/>
        <v>583.55481727574772</v>
      </c>
      <c r="I99" s="1451">
        <f t="shared" si="5"/>
        <v>389.0365448504985</v>
      </c>
      <c r="J99" s="1424">
        <f t="shared" si="6"/>
        <v>725.87394509810713</v>
      </c>
      <c r="K99" s="1425">
        <f t="shared" si="7"/>
        <v>429.8853820598008</v>
      </c>
      <c r="L99" s="1468">
        <f t="shared" si="8"/>
        <v>295.98856303830632</v>
      </c>
      <c r="M99" s="102"/>
      <c r="N99" s="125"/>
    </row>
    <row r="100" spans="1:22" x14ac:dyDescent="0.25">
      <c r="C100" s="1443">
        <v>2028</v>
      </c>
      <c r="D100" s="1439">
        <f t="shared" si="10"/>
        <v>33.271428571428586</v>
      </c>
      <c r="E100" s="1459">
        <f t="shared" si="9"/>
        <v>9.2420634920634956</v>
      </c>
      <c r="F100" s="1423">
        <f t="shared" si="2"/>
        <v>602.05654542495267</v>
      </c>
      <c r="G100" s="1451">
        <f t="shared" si="3"/>
        <v>581.22377676914221</v>
      </c>
      <c r="H100" s="1423">
        <f t="shared" si="4"/>
        <v>580.31561461794047</v>
      </c>
      <c r="I100" s="1451">
        <f t="shared" si="5"/>
        <v>386.87707641196033</v>
      </c>
      <c r="J100" s="1424">
        <f t="shared" si="6"/>
        <v>721.84475582130312</v>
      </c>
      <c r="K100" s="1425">
        <f t="shared" si="7"/>
        <v>427.49916943521612</v>
      </c>
      <c r="L100" s="1468">
        <f t="shared" si="8"/>
        <v>294.34558638608701</v>
      </c>
      <c r="M100" s="102"/>
      <c r="N100" s="125"/>
    </row>
    <row r="101" spans="1:22" x14ac:dyDescent="0.25">
      <c r="C101" s="1443">
        <v>2029</v>
      </c>
      <c r="D101" s="1439">
        <f t="shared" si="10"/>
        <v>33.085714285714303</v>
      </c>
      <c r="E101" s="1459">
        <f t="shared" si="9"/>
        <v>9.1904761904761951</v>
      </c>
      <c r="F101" s="1423">
        <f t="shared" si="2"/>
        <v>598.69598935345232</v>
      </c>
      <c r="G101" s="1451">
        <f t="shared" si="3"/>
        <v>577.97950493659664</v>
      </c>
      <c r="H101" s="1423">
        <f t="shared" si="4"/>
        <v>577.07641196013321</v>
      </c>
      <c r="I101" s="1451">
        <f t="shared" si="5"/>
        <v>384.71760797342216</v>
      </c>
      <c r="J101" s="1424">
        <f t="shared" si="6"/>
        <v>717.81556654449901</v>
      </c>
      <c r="K101" s="1425">
        <f t="shared" si="7"/>
        <v>425.11295681063143</v>
      </c>
      <c r="L101" s="1468">
        <f t="shared" si="8"/>
        <v>292.70260973386758</v>
      </c>
      <c r="M101" s="102"/>
      <c r="N101" s="125"/>
    </row>
    <row r="102" spans="1:22" x14ac:dyDescent="0.25">
      <c r="C102" s="1443">
        <v>2030</v>
      </c>
      <c r="D102" s="1438">
        <v>32.9</v>
      </c>
      <c r="E102" s="1459">
        <f t="shared" si="9"/>
        <v>9.1388888888888875</v>
      </c>
      <c r="F102" s="1423">
        <f t="shared" si="2"/>
        <v>595.33543328195151</v>
      </c>
      <c r="G102" s="1451">
        <f t="shared" si="3"/>
        <v>574.73523310405062</v>
      </c>
      <c r="H102" s="1423">
        <f t="shared" si="4"/>
        <v>573.8372093023255</v>
      </c>
      <c r="I102" s="1451">
        <f t="shared" si="5"/>
        <v>382.55813953488371</v>
      </c>
      <c r="J102" s="1424">
        <f t="shared" si="6"/>
        <v>713.78637726769421</v>
      </c>
      <c r="K102" s="1425">
        <f t="shared" si="7"/>
        <v>422.72674418604646</v>
      </c>
      <c r="L102" s="1468">
        <f t="shared" si="8"/>
        <v>291.05963308164775</v>
      </c>
      <c r="M102" s="102"/>
      <c r="N102" s="125"/>
    </row>
    <row r="103" spans="1:22" x14ac:dyDescent="0.25">
      <c r="C103" s="1443">
        <v>2031</v>
      </c>
      <c r="D103" s="1440">
        <f>+D102</f>
        <v>32.9</v>
      </c>
      <c r="E103" s="1459">
        <f t="shared" si="9"/>
        <v>9.1388888888888875</v>
      </c>
      <c r="F103" s="1423">
        <f t="shared" si="2"/>
        <v>595.33543328195151</v>
      </c>
      <c r="G103" s="1451">
        <f t="shared" si="3"/>
        <v>574.73523310405062</v>
      </c>
      <c r="H103" s="1423">
        <f t="shared" si="4"/>
        <v>573.8372093023255</v>
      </c>
      <c r="I103" s="1451">
        <f t="shared" si="5"/>
        <v>382.55813953488371</v>
      </c>
      <c r="J103" s="1424">
        <f t="shared" si="6"/>
        <v>713.78637726769421</v>
      </c>
      <c r="K103" s="1425">
        <f t="shared" si="7"/>
        <v>422.72674418604646</v>
      </c>
      <c r="L103" s="1468">
        <f t="shared" si="8"/>
        <v>291.05963308164775</v>
      </c>
      <c r="M103" s="102"/>
      <c r="N103" s="125"/>
    </row>
    <row r="104" spans="1:22" x14ac:dyDescent="0.25">
      <c r="C104" s="1443">
        <v>2032</v>
      </c>
      <c r="D104" s="1440">
        <f>+D103</f>
        <v>32.9</v>
      </c>
      <c r="E104" s="1459">
        <f t="shared" si="9"/>
        <v>9.1388888888888875</v>
      </c>
      <c r="F104" s="1423">
        <f t="shared" si="2"/>
        <v>595.33543328195151</v>
      </c>
      <c r="G104" s="1451">
        <f t="shared" si="3"/>
        <v>574.73523310405062</v>
      </c>
      <c r="H104" s="1423">
        <f t="shared" si="4"/>
        <v>573.8372093023255</v>
      </c>
      <c r="I104" s="1451">
        <f t="shared" si="5"/>
        <v>382.55813953488371</v>
      </c>
      <c r="J104" s="1424">
        <f t="shared" si="6"/>
        <v>713.78637726769421</v>
      </c>
      <c r="K104" s="1425">
        <f t="shared" si="7"/>
        <v>422.72674418604646</v>
      </c>
      <c r="L104" s="1468">
        <f t="shared" si="8"/>
        <v>291.05963308164775</v>
      </c>
      <c r="M104" s="102"/>
      <c r="N104" s="125"/>
    </row>
    <row r="105" spans="1:22" x14ac:dyDescent="0.25">
      <c r="C105" s="1443">
        <v>2033</v>
      </c>
      <c r="D105" s="1440">
        <f>+D104</f>
        <v>32.9</v>
      </c>
      <c r="E105" s="1459">
        <f t="shared" si="9"/>
        <v>9.1388888888888875</v>
      </c>
      <c r="F105" s="1423">
        <f t="shared" si="2"/>
        <v>595.33543328195151</v>
      </c>
      <c r="G105" s="1451">
        <f t="shared" si="3"/>
        <v>574.73523310405062</v>
      </c>
      <c r="H105" s="1423">
        <f t="shared" si="4"/>
        <v>573.8372093023255</v>
      </c>
      <c r="I105" s="1451">
        <f t="shared" si="5"/>
        <v>382.55813953488371</v>
      </c>
      <c r="J105" s="1424">
        <f t="shared" si="6"/>
        <v>713.78637726769421</v>
      </c>
      <c r="K105" s="1425">
        <f t="shared" si="7"/>
        <v>422.72674418604646</v>
      </c>
      <c r="L105" s="1468">
        <f t="shared" si="8"/>
        <v>291.05963308164775</v>
      </c>
      <c r="M105" s="102"/>
      <c r="N105" s="125"/>
    </row>
    <row r="106" spans="1:22" x14ac:dyDescent="0.25">
      <c r="C106" s="1443">
        <v>2034</v>
      </c>
      <c r="D106" s="1440">
        <f>+D105</f>
        <v>32.9</v>
      </c>
      <c r="E106" s="1459">
        <f t="shared" si="9"/>
        <v>9.1388888888888875</v>
      </c>
      <c r="F106" s="1423">
        <f t="shared" si="2"/>
        <v>595.33543328195151</v>
      </c>
      <c r="G106" s="1451">
        <f t="shared" si="3"/>
        <v>574.73523310405062</v>
      </c>
      <c r="H106" s="1423">
        <f t="shared" si="4"/>
        <v>573.8372093023255</v>
      </c>
      <c r="I106" s="1451">
        <f t="shared" si="5"/>
        <v>382.55813953488371</v>
      </c>
      <c r="J106" s="1424">
        <f t="shared" si="6"/>
        <v>713.78637726769421</v>
      </c>
      <c r="K106" s="1425">
        <f t="shared" si="7"/>
        <v>422.72674418604646</v>
      </c>
      <c r="L106" s="1468">
        <f t="shared" si="8"/>
        <v>291.05963308164775</v>
      </c>
      <c r="M106" s="102"/>
      <c r="N106" s="125"/>
    </row>
    <row r="107" spans="1:22" ht="15.75" thickBot="1" x14ac:dyDescent="0.3">
      <c r="C107" s="1444">
        <v>2035</v>
      </c>
      <c r="D107" s="1445">
        <f>+D106</f>
        <v>32.9</v>
      </c>
      <c r="E107" s="1460">
        <f t="shared" si="9"/>
        <v>9.1388888888888875</v>
      </c>
      <c r="F107" s="1426">
        <f t="shared" si="2"/>
        <v>595.33543328195151</v>
      </c>
      <c r="G107" s="1452">
        <f t="shared" si="3"/>
        <v>574.73523310405062</v>
      </c>
      <c r="H107" s="1426">
        <f t="shared" si="4"/>
        <v>573.8372093023255</v>
      </c>
      <c r="I107" s="1452">
        <f t="shared" si="5"/>
        <v>382.55813953488371</v>
      </c>
      <c r="J107" s="1427">
        <f t="shared" si="6"/>
        <v>713.78637726769421</v>
      </c>
      <c r="K107" s="1428">
        <f t="shared" si="7"/>
        <v>422.72674418604646</v>
      </c>
      <c r="L107" s="1469">
        <f t="shared" si="8"/>
        <v>291.05963308164775</v>
      </c>
      <c r="M107" s="102"/>
      <c r="N107" s="125"/>
    </row>
    <row r="108" spans="1:22" ht="15.75" thickBot="1" x14ac:dyDescent="0.3">
      <c r="A108" s="194"/>
      <c r="M108" s="251">
        <f>SUM(L93:L107)</f>
        <v>4437.5535548253674</v>
      </c>
      <c r="N108" s="208" t="s">
        <v>47</v>
      </c>
    </row>
    <row r="109" spans="1:22" x14ac:dyDescent="0.25">
      <c r="A109" s="194"/>
      <c r="M109" s="102"/>
      <c r="N109" s="240">
        <f>+Vervoer!G28</f>
        <v>6311.68</v>
      </c>
      <c r="P109" s="223"/>
      <c r="V109" s="1338"/>
    </row>
    <row r="110" spans="1:22" x14ac:dyDescent="0.25">
      <c r="A110" s="194"/>
      <c r="K110" s="238"/>
      <c r="M110" s="364">
        <f>SUM(L80:L107)</f>
        <v>6242.7425557466513</v>
      </c>
      <c r="N110" s="239" t="s">
        <v>243</v>
      </c>
    </row>
    <row r="111" spans="1:22" x14ac:dyDescent="0.25">
      <c r="A111" s="194"/>
      <c r="K111" s="238"/>
      <c r="L111" s="308"/>
    </row>
  </sheetData>
  <hyperlinks>
    <hyperlink ref="B16" r:id="rId1"/>
  </hyperlinks>
  <pageMargins left="0.7" right="0.7" top="0.75" bottom="0.75" header="0.3" footer="0.3"/>
  <pageSetup paperSize="9" orientation="portrait" horizontalDpi="4294967293" verticalDpi="4294967293" r:id="rId2"/>
  <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95"/>
  <sheetViews>
    <sheetView topLeftCell="A49" zoomScale="80" zoomScaleNormal="80" workbookViewId="0">
      <selection activeCell="F49" sqref="F49"/>
    </sheetView>
  </sheetViews>
  <sheetFormatPr defaultRowHeight="15" x14ac:dyDescent="0.25"/>
  <cols>
    <col min="1" max="1" width="48.85546875" customWidth="1"/>
    <col min="2" max="3" width="13.7109375" customWidth="1"/>
    <col min="4" max="4" width="13.5703125" customWidth="1"/>
    <col min="5" max="8" width="12.7109375" customWidth="1"/>
    <col min="9" max="13" width="15.7109375" customWidth="1"/>
  </cols>
  <sheetData>
    <row r="1" spans="1:27" ht="21" x14ac:dyDescent="0.35">
      <c r="A1" s="196" t="s">
        <v>400</v>
      </c>
      <c r="B1" s="205"/>
      <c r="C1" s="205"/>
      <c r="D1" s="205"/>
      <c r="E1" s="205"/>
      <c r="F1" s="205"/>
      <c r="G1" s="205"/>
      <c r="H1" s="205"/>
      <c r="I1" s="205"/>
      <c r="J1" s="65"/>
      <c r="K1" s="65"/>
    </row>
    <row r="2" spans="1:27" ht="15.75" x14ac:dyDescent="0.25">
      <c r="A2" s="117"/>
      <c r="B2" s="117"/>
      <c r="C2" s="117"/>
      <c r="D2" s="117"/>
      <c r="E2" s="117"/>
      <c r="F2" s="78"/>
      <c r="G2" s="78"/>
      <c r="H2" s="117"/>
      <c r="I2" s="65"/>
      <c r="J2" s="65"/>
      <c r="K2" s="65"/>
      <c r="L2" s="65"/>
      <c r="M2" s="65"/>
      <c r="N2" s="65"/>
      <c r="O2" s="65"/>
      <c r="P2" s="65"/>
      <c r="Q2" s="65"/>
    </row>
    <row r="3" spans="1:27" ht="18.75" x14ac:dyDescent="0.3">
      <c r="A3" s="118"/>
      <c r="B3" s="119" t="s">
        <v>177</v>
      </c>
      <c r="C3" s="120" t="s">
        <v>203</v>
      </c>
      <c r="D3" s="117"/>
      <c r="E3" s="117"/>
      <c r="F3" s="116"/>
      <c r="G3" s="65"/>
      <c r="H3" s="65"/>
      <c r="I3" s="65"/>
      <c r="J3" s="65"/>
      <c r="K3" s="65"/>
      <c r="L3" s="65"/>
      <c r="M3" s="65"/>
      <c r="N3" s="65"/>
      <c r="O3" s="65"/>
      <c r="P3" s="65"/>
      <c r="Q3" s="65"/>
    </row>
    <row r="4" spans="1:27" ht="108.75" customHeight="1" x14ac:dyDescent="0.25">
      <c r="A4" s="1088" t="s">
        <v>829</v>
      </c>
      <c r="B4" s="512">
        <v>3177</v>
      </c>
      <c r="C4" s="1094" t="s">
        <v>831</v>
      </c>
      <c r="D4" s="1797" t="s">
        <v>1125</v>
      </c>
      <c r="E4" s="1798"/>
      <c r="F4" s="1798"/>
      <c r="G4" s="1798"/>
      <c r="H4" s="1798"/>
      <c r="I4" s="1798"/>
      <c r="J4" s="117"/>
      <c r="K4" s="117"/>
      <c r="L4" s="117"/>
      <c r="M4" s="117"/>
      <c r="N4" s="65"/>
      <c r="O4" s="65"/>
      <c r="P4" s="65"/>
      <c r="Q4" s="65"/>
    </row>
    <row r="5" spans="1:27" ht="45" x14ac:dyDescent="0.25">
      <c r="A5" s="1088" t="s">
        <v>832</v>
      </c>
      <c r="B5" s="514">
        <v>2120</v>
      </c>
      <c r="C5" s="1094" t="s">
        <v>830</v>
      </c>
      <c r="H5" s="124"/>
      <c r="I5" s="117"/>
      <c r="J5" s="117"/>
      <c r="K5" s="117"/>
      <c r="L5" s="117"/>
      <c r="M5" s="117"/>
      <c r="N5" s="65"/>
      <c r="O5" s="65"/>
      <c r="P5" s="65"/>
      <c r="Q5" s="65"/>
    </row>
    <row r="6" spans="1:27" x14ac:dyDescent="0.25">
      <c r="A6" s="65"/>
      <c r="B6" s="65"/>
      <c r="C6" s="65"/>
      <c r="D6" s="65"/>
      <c r="E6" s="65"/>
      <c r="F6" s="121"/>
      <c r="G6" s="65"/>
      <c r="H6" s="65"/>
      <c r="I6" s="65"/>
      <c r="J6" s="65"/>
      <c r="K6" s="65"/>
      <c r="L6" s="65"/>
      <c r="M6" s="65"/>
      <c r="N6" s="65"/>
      <c r="O6" s="65"/>
      <c r="P6" s="65"/>
      <c r="Q6" s="65"/>
    </row>
    <row r="7" spans="1:27" ht="15.75" x14ac:dyDescent="0.25">
      <c r="A7" s="65"/>
      <c r="B7" s="65"/>
      <c r="C7" s="73"/>
      <c r="D7" s="501"/>
      <c r="E7" s="29"/>
      <c r="F7" s="29"/>
      <c r="AA7" s="2"/>
    </row>
    <row r="8" spans="1:27" ht="15.75" x14ac:dyDescent="0.25">
      <c r="A8" s="65"/>
      <c r="B8" s="136">
        <v>1990</v>
      </c>
      <c r="C8" s="511">
        <v>2003</v>
      </c>
      <c r="D8" s="511">
        <v>2013</v>
      </c>
      <c r="E8" s="511">
        <v>2020</v>
      </c>
      <c r="F8" s="120" t="s">
        <v>203</v>
      </c>
      <c r="AA8" s="2"/>
    </row>
    <row r="9" spans="1:27" x14ac:dyDescent="0.25">
      <c r="A9" s="872" t="s">
        <v>833</v>
      </c>
      <c r="B9" s="136"/>
      <c r="C9" s="374">
        <v>2250</v>
      </c>
      <c r="D9" s="886">
        <f>+B5</f>
        <v>2120</v>
      </c>
      <c r="E9" s="887">
        <f>+Uitgangspunten!B61</f>
        <v>2020</v>
      </c>
      <c r="F9" s="770"/>
      <c r="AA9" s="2"/>
    </row>
    <row r="10" spans="1:27" ht="50.1" customHeight="1" x14ac:dyDescent="0.25">
      <c r="A10" s="864" t="s">
        <v>638</v>
      </c>
      <c r="B10" s="136"/>
      <c r="C10" s="865">
        <v>0.02</v>
      </c>
      <c r="D10" s="865">
        <f>+'%Hernieuwbaar'!C25</f>
        <v>4.6698113207547166E-2</v>
      </c>
      <c r="E10" s="866">
        <f>+'%Hernieuwbaar'!I25</f>
        <v>0.12891856099009902</v>
      </c>
      <c r="F10" s="888" t="s">
        <v>639</v>
      </c>
      <c r="AA10" s="2"/>
    </row>
    <row r="11" spans="1:27" ht="50.1" customHeight="1" x14ac:dyDescent="0.25">
      <c r="A11" s="978" t="s">
        <v>698</v>
      </c>
      <c r="B11" s="867"/>
      <c r="C11" s="868">
        <f>+'%Hernieuwbaar'!B25</f>
        <v>99</v>
      </c>
      <c r="D11" s="869"/>
      <c r="E11" s="870">
        <f>+'%Hernieuwbaar'!H25</f>
        <v>260.41549320000001</v>
      </c>
      <c r="F11" s="888" t="s">
        <v>639</v>
      </c>
      <c r="AA11" s="2"/>
    </row>
    <row r="12" spans="1:27" ht="36" customHeight="1" x14ac:dyDescent="0.25">
      <c r="A12" s="864" t="s">
        <v>646</v>
      </c>
      <c r="B12" s="867"/>
      <c r="C12" s="868"/>
      <c r="D12" s="869"/>
      <c r="E12" s="871">
        <f>+Resultaatgrafiek!C76</f>
        <v>26.797873327471404</v>
      </c>
      <c r="F12" s="873" t="s">
        <v>643</v>
      </c>
      <c r="AA12" s="2"/>
    </row>
    <row r="13" spans="1:27" ht="36" customHeight="1" x14ac:dyDescent="0.25">
      <c r="A13" s="864" t="s">
        <v>647</v>
      </c>
      <c r="B13" s="867"/>
      <c r="C13" s="868"/>
      <c r="D13" s="869"/>
      <c r="E13" s="871">
        <f>+(C9-E9)*E17</f>
        <v>19.202247191011235</v>
      </c>
      <c r="F13" s="873" t="s">
        <v>645</v>
      </c>
      <c r="AA13" s="2"/>
    </row>
    <row r="14" spans="1:27" ht="60" x14ac:dyDescent="0.25">
      <c r="A14" s="872" t="s">
        <v>825</v>
      </c>
      <c r="B14" s="199">
        <v>222</v>
      </c>
      <c r="C14" s="889">
        <v>218</v>
      </c>
      <c r="D14" s="889">
        <v>195</v>
      </c>
      <c r="E14" s="890">
        <f>+C14-E12-E13</f>
        <v>171.99987948151738</v>
      </c>
      <c r="F14" s="873" t="s">
        <v>644</v>
      </c>
      <c r="G14" s="601"/>
      <c r="AA14" s="2"/>
    </row>
    <row r="15" spans="1:27" ht="60" x14ac:dyDescent="0.25">
      <c r="A15" s="874" t="s">
        <v>826</v>
      </c>
      <c r="B15" s="199">
        <v>212</v>
      </c>
      <c r="C15" s="889">
        <v>211</v>
      </c>
      <c r="D15" s="889">
        <v>192</v>
      </c>
      <c r="E15" s="890" t="s">
        <v>696</v>
      </c>
      <c r="F15" s="892" t="s">
        <v>636</v>
      </c>
      <c r="G15" s="601"/>
      <c r="AA15" s="2"/>
    </row>
    <row r="16" spans="1:27" x14ac:dyDescent="0.25">
      <c r="A16" s="978" t="s">
        <v>697</v>
      </c>
      <c r="B16" s="979">
        <f>1-B14/$B$14</f>
        <v>0</v>
      </c>
      <c r="C16" s="979">
        <f>1-C14/$B$14</f>
        <v>1.8018018018018056E-2</v>
      </c>
      <c r="D16" s="979">
        <f>1-D14/$B$14</f>
        <v>0.1216216216216216</v>
      </c>
      <c r="E16" s="979">
        <f>1-E14/$B$14</f>
        <v>0.22522576810127304</v>
      </c>
      <c r="F16" s="892"/>
      <c r="G16" s="601"/>
      <c r="AA16" s="2"/>
    </row>
    <row r="17" spans="1:27" ht="75" x14ac:dyDescent="0.25">
      <c r="A17" s="874" t="s">
        <v>763</v>
      </c>
      <c r="B17" s="136"/>
      <c r="C17" s="891">
        <f>+C14/(C9)</f>
        <v>9.6888888888888886E-2</v>
      </c>
      <c r="D17" s="891">
        <f>+D14/(D9)</f>
        <v>9.1981132075471692E-2</v>
      </c>
      <c r="E17" s="891">
        <f>170.9/2047</f>
        <v>8.3488031265266244E-2</v>
      </c>
      <c r="F17" s="160"/>
      <c r="G17" s="206"/>
      <c r="AA17" s="2"/>
    </row>
    <row r="18" spans="1:27" ht="30" x14ac:dyDescent="0.25">
      <c r="A18" s="1094" t="s">
        <v>936</v>
      </c>
      <c r="B18" s="136" t="s">
        <v>937</v>
      </c>
      <c r="C18" s="1205">
        <v>528</v>
      </c>
      <c r="D18" s="891"/>
      <c r="E18" s="1205">
        <v>493</v>
      </c>
      <c r="F18" s="160"/>
      <c r="G18" s="206"/>
      <c r="AA18" s="2"/>
    </row>
    <row r="19" spans="1:27" x14ac:dyDescent="0.25">
      <c r="A19" s="65"/>
      <c r="B19" s="65"/>
      <c r="C19" s="65"/>
      <c r="D19" s="65"/>
      <c r="E19" s="65"/>
      <c r="F19" s="65"/>
      <c r="G19" s="65"/>
    </row>
    <row r="20" spans="1:27" ht="15.75" x14ac:dyDescent="0.25">
      <c r="A20" s="957" t="s">
        <v>703</v>
      </c>
      <c r="B20" s="957"/>
      <c r="C20" s="957"/>
      <c r="D20" s="957"/>
      <c r="E20" s="957"/>
      <c r="F20" s="957"/>
      <c r="G20" s="957"/>
      <c r="H20" s="957"/>
      <c r="I20" s="957"/>
      <c r="J20" s="957"/>
      <c r="K20" s="957"/>
      <c r="L20" s="957"/>
      <c r="M20" s="957"/>
    </row>
    <row r="21" spans="1:27" ht="80.099999999999994" customHeight="1" x14ac:dyDescent="0.25">
      <c r="A21" s="1799" t="s">
        <v>1118</v>
      </c>
      <c r="B21" s="1800"/>
      <c r="C21" s="1800"/>
      <c r="D21" s="1800"/>
      <c r="E21" s="1800"/>
      <c r="F21" s="1800"/>
      <c r="G21" s="1800"/>
      <c r="H21" s="1800"/>
      <c r="I21" s="1499"/>
    </row>
    <row r="22" spans="1:27" x14ac:dyDescent="0.25">
      <c r="B22" s="980"/>
      <c r="C22" s="894"/>
      <c r="D22" s="894"/>
      <c r="I22" s="1791" t="s">
        <v>1122</v>
      </c>
      <c r="J22" s="1792"/>
      <c r="K22" s="1792"/>
      <c r="L22" s="1792"/>
      <c r="M22" s="1793"/>
    </row>
    <row r="23" spans="1:27" ht="15" customHeight="1" x14ac:dyDescent="0.25">
      <c r="A23" s="1479" t="s">
        <v>1032</v>
      </c>
      <c r="B23" s="980"/>
      <c r="C23" s="894"/>
      <c r="D23" s="895"/>
      <c r="I23" s="1794"/>
      <c r="J23" s="1795"/>
      <c r="K23" s="1795"/>
      <c r="L23" s="1795"/>
      <c r="M23" s="1796"/>
    </row>
    <row r="24" spans="1:27" ht="15" customHeight="1" x14ac:dyDescent="0.25">
      <c r="A24" s="1479" t="s">
        <v>1033</v>
      </c>
      <c r="B24" s="980"/>
      <c r="C24" s="894"/>
      <c r="D24" s="895"/>
      <c r="I24" s="1480">
        <v>288</v>
      </c>
      <c r="J24" s="1507" t="s">
        <v>699</v>
      </c>
      <c r="K24" s="1483">
        <v>0</v>
      </c>
      <c r="L24" s="17"/>
      <c r="M24" s="1476"/>
    </row>
    <row r="25" spans="1:27" x14ac:dyDescent="0.25">
      <c r="A25" s="1498" t="s">
        <v>1119</v>
      </c>
      <c r="B25" s="980"/>
      <c r="C25" s="894"/>
      <c r="D25" s="895"/>
      <c r="I25" s="1480">
        <v>118</v>
      </c>
      <c r="J25" s="1507" t="s">
        <v>700</v>
      </c>
      <c r="K25" s="1483">
        <v>0</v>
      </c>
      <c r="L25" s="17"/>
      <c r="M25" s="1476"/>
    </row>
    <row r="26" spans="1:27" x14ac:dyDescent="0.25">
      <c r="A26" s="1498" t="s">
        <v>1120</v>
      </c>
      <c r="B26" s="980"/>
      <c r="C26" s="894"/>
      <c r="D26" s="895"/>
      <c r="I26" s="1480">
        <v>150</v>
      </c>
      <c r="J26" s="17"/>
      <c r="K26" s="1483">
        <v>0</v>
      </c>
      <c r="L26" s="17"/>
      <c r="M26" s="1476"/>
    </row>
    <row r="27" spans="1:27" x14ac:dyDescent="0.25">
      <c r="I27" s="1481">
        <v>250</v>
      </c>
      <c r="J27" s="17"/>
      <c r="K27" s="1484">
        <v>300</v>
      </c>
      <c r="L27" s="17"/>
      <c r="M27" s="1476"/>
    </row>
    <row r="28" spans="1:27" x14ac:dyDescent="0.25">
      <c r="I28" s="1482">
        <f>SUM(I24:I27)</f>
        <v>806</v>
      </c>
      <c r="J28" s="1477" t="s">
        <v>702</v>
      </c>
      <c r="K28" s="1485">
        <f>SUM(K24:K27)</f>
        <v>300</v>
      </c>
      <c r="L28" s="1477" t="s">
        <v>704</v>
      </c>
      <c r="M28" s="1478"/>
    </row>
    <row r="29" spans="1:27" x14ac:dyDescent="0.25">
      <c r="I29" s="1498" t="s">
        <v>1121</v>
      </c>
    </row>
    <row r="30" spans="1:27" x14ac:dyDescent="0.25">
      <c r="E30" s="17"/>
      <c r="F30" s="17"/>
      <c r="G30" s="17"/>
      <c r="H30" s="17"/>
      <c r="I30" s="893">
        <f>+(I24+K24)/($I$28+$K$28)</f>
        <v>0.2603978300180832</v>
      </c>
      <c r="J30" s="893">
        <f>+(I25+K25)/($I$28+$K$28)</f>
        <v>0.10669077757685352</v>
      </c>
      <c r="K30" s="893">
        <f>+(I26+K26)/($I$28+$K$28)</f>
        <v>0.13562386980108498</v>
      </c>
      <c r="L30" s="893">
        <f>+(I27+K27)/($I$28+$K$28)</f>
        <v>0.49728752260397829</v>
      </c>
    </row>
    <row r="31" spans="1:27" x14ac:dyDescent="0.25">
      <c r="E31" s="17"/>
      <c r="F31" s="17"/>
      <c r="G31" s="17"/>
      <c r="H31" s="17"/>
      <c r="I31" s="17"/>
      <c r="J31" s="17"/>
      <c r="K31" s="17"/>
      <c r="L31" s="17"/>
    </row>
    <row r="32" spans="1:27" ht="15.75" x14ac:dyDescent="0.25">
      <c r="D32" s="1383"/>
      <c r="I32" s="1498" t="s">
        <v>1093</v>
      </c>
    </row>
    <row r="33" spans="1:12" ht="50.1" customHeight="1" x14ac:dyDescent="0.25">
      <c r="A33" s="1486"/>
      <c r="B33" s="1487" t="s">
        <v>433</v>
      </c>
      <c r="C33" s="1487" t="s">
        <v>1124</v>
      </c>
      <c r="D33" s="1488" t="s">
        <v>1123</v>
      </c>
      <c r="I33" s="1495" t="s">
        <v>445</v>
      </c>
      <c r="J33" s="1496" t="s">
        <v>701</v>
      </c>
      <c r="K33" s="1496" t="s">
        <v>1092</v>
      </c>
      <c r="L33" s="1497" t="s">
        <v>1091</v>
      </c>
    </row>
    <row r="34" spans="1:12" s="3" customFormat="1" x14ac:dyDescent="0.25">
      <c r="A34" s="1500">
        <v>2003</v>
      </c>
      <c r="B34" s="1501">
        <v>0</v>
      </c>
      <c r="C34" s="1502">
        <f>+B34*10^9/Uitgangspunten!B$73/10^6</f>
        <v>0</v>
      </c>
      <c r="D34" s="1604">
        <f t="array" ref="D34">SUM($I$30:$L$30*I34:L34)*C34</f>
        <v>0</v>
      </c>
      <c r="E34"/>
      <c r="I34" s="1475">
        <v>0.1285</v>
      </c>
      <c r="J34" s="17">
        <v>1.2E-2</v>
      </c>
      <c r="K34" s="17">
        <v>1.2E-2</v>
      </c>
      <c r="L34" s="1476">
        <v>7.4000000000000099E-3</v>
      </c>
    </row>
    <row r="35" spans="1:12" s="3" customFormat="1" x14ac:dyDescent="0.25">
      <c r="A35" s="1500">
        <v>2004</v>
      </c>
      <c r="B35" s="1430">
        <f>+((B$44-B$34)/10)+B34</f>
        <v>13</v>
      </c>
      <c r="C35" s="1502">
        <f>+B35*10^9/Uitgangspunten!B$73/10^6</f>
        <v>369.63321012226328</v>
      </c>
      <c r="D35" s="1604">
        <f t="array" ref="D35">SUM($I$30:$L$30*I35:L35)*C35</f>
        <v>17.193024220770106</v>
      </c>
      <c r="E35"/>
      <c r="I35" s="1475">
        <v>0.1429</v>
      </c>
      <c r="J35" s="17">
        <v>2.3E-2</v>
      </c>
      <c r="K35" s="17">
        <v>2.3E-2</v>
      </c>
      <c r="L35" s="1476">
        <v>7.4999999999999997E-3</v>
      </c>
    </row>
    <row r="36" spans="1:12" s="3" customFormat="1" x14ac:dyDescent="0.25">
      <c r="A36" s="1500">
        <v>2005</v>
      </c>
      <c r="B36" s="1430">
        <f t="shared" ref="B36:B43" si="0">+((B$44-B$34)/10)+B35</f>
        <v>26</v>
      </c>
      <c r="C36" s="1502">
        <f>+B36*10^9/Uitgangspunten!B$73/10^6</f>
        <v>739.26642024452656</v>
      </c>
      <c r="D36" s="1604">
        <f t="array" ref="D36">SUM($I$30:$L$30*I36:L36)*C36</f>
        <v>37.107163809366135</v>
      </c>
      <c r="E36"/>
      <c r="I36" s="1475">
        <v>0.14940000000000001</v>
      </c>
      <c r="J36" s="17">
        <v>3.1E-2</v>
      </c>
      <c r="K36" s="17">
        <v>3.1E-2</v>
      </c>
      <c r="L36" s="1476">
        <v>7.6E-3</v>
      </c>
    </row>
    <row r="37" spans="1:12" s="3" customFormat="1" x14ac:dyDescent="0.25">
      <c r="A37" s="1500">
        <v>2006</v>
      </c>
      <c r="B37" s="1430">
        <f t="shared" si="0"/>
        <v>39</v>
      </c>
      <c r="C37" s="1503">
        <f>+B37*10^9/Uitgangspunten!B$73/10^6</f>
        <v>1108.8996303667898</v>
      </c>
      <c r="D37" s="1604">
        <f t="array" ref="D37">SUM($I$30:$L$30*I37:L37)*C37</f>
        <v>56.8973793524709</v>
      </c>
      <c r="E37"/>
      <c r="I37" s="1475">
        <v>0.1507</v>
      </c>
      <c r="J37" s="17">
        <v>3.4000000000000002E-2</v>
      </c>
      <c r="K37" s="17">
        <v>3.4000000000000002E-2</v>
      </c>
      <c r="L37" s="1476">
        <v>7.7000000000000002E-3</v>
      </c>
    </row>
    <row r="38" spans="1:12" s="3" customFormat="1" x14ac:dyDescent="0.25">
      <c r="A38" s="1500">
        <v>2007</v>
      </c>
      <c r="B38" s="1430">
        <f t="shared" si="0"/>
        <v>52</v>
      </c>
      <c r="C38" s="1503">
        <f>+B38*10^9/Uitgangspunten!B$73/10^6</f>
        <v>1478.5328404890531</v>
      </c>
      <c r="D38" s="1604">
        <f t="array" ref="D38">SUM($I$30:$L$30*I38:L38)*C38</f>
        <v>78.114659820731234</v>
      </c>
      <c r="E38"/>
      <c r="I38" s="1475">
        <v>0.15310000000000001</v>
      </c>
      <c r="J38" s="17">
        <v>3.7499999999999999E-2</v>
      </c>
      <c r="K38" s="17">
        <v>3.7499999999999999E-2</v>
      </c>
      <c r="L38" s="1476">
        <v>7.7999999999999996E-3</v>
      </c>
    </row>
    <row r="39" spans="1:12" s="3" customFormat="1" x14ac:dyDescent="0.25">
      <c r="A39" s="1500">
        <v>2008</v>
      </c>
      <c r="B39" s="1430">
        <f t="shared" si="0"/>
        <v>65</v>
      </c>
      <c r="C39" s="1503">
        <f>+B39*10^9/Uitgangspunten!B$73/10^6</f>
        <v>1848.1660506113165</v>
      </c>
      <c r="D39" s="1604">
        <f t="array" ref="D39">SUM($I$30:$L$30*I39:L39)*C39</f>
        <v>99.066045006918102</v>
      </c>
      <c r="E39"/>
      <c r="I39" s="1475">
        <v>0.15540000000000001</v>
      </c>
      <c r="J39" s="17">
        <v>3.7999999999999999E-2</v>
      </c>
      <c r="K39" s="17">
        <v>3.7999999999999999E-2</v>
      </c>
      <c r="L39" s="1476">
        <v>7.9000000000000008E-3</v>
      </c>
    </row>
    <row r="40" spans="1:12" s="3" customFormat="1" x14ac:dyDescent="0.25">
      <c r="A40" s="1500">
        <v>2009</v>
      </c>
      <c r="B40" s="1430">
        <f t="shared" si="0"/>
        <v>78</v>
      </c>
      <c r="C40" s="1503">
        <f>+B40*10^9/Uitgangspunten!B$73/10^6</f>
        <v>2217.7992607335796</v>
      </c>
      <c r="D40" s="1604">
        <f t="array" ref="D40">SUM($I$30:$L$30*I40:L40)*C40</f>
        <v>120.75977131997979</v>
      </c>
      <c r="E40"/>
      <c r="I40" s="1475">
        <v>0.158</v>
      </c>
      <c r="J40" s="17">
        <v>3.85E-2</v>
      </c>
      <c r="K40" s="17">
        <v>3.85E-2</v>
      </c>
      <c r="L40" s="1476">
        <v>8.0000000000000002E-3</v>
      </c>
    </row>
    <row r="41" spans="1:12" s="3" customFormat="1" x14ac:dyDescent="0.25">
      <c r="A41" s="1500">
        <v>2010</v>
      </c>
      <c r="B41" s="1430">
        <f t="shared" si="0"/>
        <v>91</v>
      </c>
      <c r="C41" s="1503">
        <f>+B41*10^9/Uitgangspunten!B$73/10^6</f>
        <v>2587.4324708558429</v>
      </c>
      <c r="D41" s="1604">
        <f t="array" ref="D41">SUM($I$30:$L$30*I41:L41)*C41</f>
        <v>144.6299888786113</v>
      </c>
      <c r="E41"/>
      <c r="I41" s="1475">
        <v>0.16289999999999999</v>
      </c>
      <c r="J41" s="17">
        <v>3.9E-2</v>
      </c>
      <c r="K41" s="17">
        <v>3.9E-2</v>
      </c>
      <c r="L41" s="1476">
        <v>8.0999999999999996E-3</v>
      </c>
    </row>
    <row r="42" spans="1:12" s="3" customFormat="1" x14ac:dyDescent="0.25">
      <c r="A42" s="1500">
        <v>2011</v>
      </c>
      <c r="B42" s="1430">
        <f t="shared" si="0"/>
        <v>104</v>
      </c>
      <c r="C42" s="1503">
        <f>+B42*10^9/Uitgangspunten!B$73/10^6</f>
        <v>2957.0656809781062</v>
      </c>
      <c r="D42" s="1604">
        <f t="array" ref="D42">SUM($I$30:$L$30*I42:L42)*C42</f>
        <v>166.42344263281268</v>
      </c>
      <c r="E42"/>
      <c r="I42" s="1475">
        <v>0.16389999999999999</v>
      </c>
      <c r="J42" s="17">
        <v>3.9300000000000002E-2</v>
      </c>
      <c r="K42" s="17">
        <v>3.9300000000000002E-2</v>
      </c>
      <c r="L42" s="1476">
        <v>8.2000000000000007E-3</v>
      </c>
    </row>
    <row r="43" spans="1:12" s="3" customFormat="1" x14ac:dyDescent="0.25">
      <c r="A43" s="1500">
        <v>2012</v>
      </c>
      <c r="B43" s="1430">
        <f t="shared" si="0"/>
        <v>117</v>
      </c>
      <c r="C43" s="1503">
        <f>+B43*10^9/Uitgangspunten!B$73/10^6</f>
        <v>3326.6988911003696</v>
      </c>
      <c r="D43" s="1604">
        <f t="array" ref="D43">SUM($I$30:$L$30*I43:L43)*C43</f>
        <v>190.38162353765048</v>
      </c>
      <c r="E43"/>
      <c r="I43" s="1475">
        <v>0.16669999999999999</v>
      </c>
      <c r="J43" s="17">
        <v>0.04</v>
      </c>
      <c r="K43" s="17">
        <v>0.04</v>
      </c>
      <c r="L43" s="1476">
        <v>8.3000000000000001E-3</v>
      </c>
    </row>
    <row r="44" spans="1:12" x14ac:dyDescent="0.25">
      <c r="A44" s="1429">
        <v>2013</v>
      </c>
      <c r="B44" s="1504">
        <f>+C9-D9</f>
        <v>130</v>
      </c>
      <c r="C44" s="1503">
        <f>+B44*10^9/Uitgangspunten!B$73/10^6</f>
        <v>3696.3321012226329</v>
      </c>
      <c r="D44" s="1604">
        <f t="array" ref="D44">SUM($I$30:$L$30*I44:L44)*C44</f>
        <v>239.67939756316648</v>
      </c>
      <c r="I44" s="1475">
        <v>0.1862</v>
      </c>
      <c r="J44" s="8">
        <v>4.3900000000000002E-2</v>
      </c>
      <c r="K44" s="8">
        <v>4.3900000000000002E-2</v>
      </c>
      <c r="L44" s="1489">
        <v>1.15E-2</v>
      </c>
    </row>
    <row r="45" spans="1:12" x14ac:dyDescent="0.25">
      <c r="A45" s="1429">
        <v>2014</v>
      </c>
      <c r="B45" s="1430">
        <f>+((B$52-B$44)/8)+B44</f>
        <v>142.5</v>
      </c>
      <c r="C45" s="1503">
        <f>+B45*10^9/Uitgangspunten!B$73/10^6</f>
        <v>4051.7486494171167</v>
      </c>
      <c r="D45" s="1604">
        <f t="array" ref="D45">SUM($I$30:$L$30*I45:L45)*C45</f>
        <v>267.19194190346968</v>
      </c>
      <c r="I45" s="1475">
        <v>0.18940000000000001</v>
      </c>
      <c r="J45" s="8">
        <v>4.4600000000000001E-2</v>
      </c>
      <c r="K45" s="8">
        <v>4.4600000000000001E-2</v>
      </c>
      <c r="L45" s="1489">
        <v>1.17E-2</v>
      </c>
    </row>
    <row r="46" spans="1:12" x14ac:dyDescent="0.25">
      <c r="A46" s="1429">
        <v>2015</v>
      </c>
      <c r="B46" s="1430">
        <f t="shared" ref="B46:B51" si="1">+((B$52-B$44)/8)+B45</f>
        <v>155</v>
      </c>
      <c r="C46" s="1503">
        <f>+B46*10^9/Uitgangspunten!B$73/10^6</f>
        <v>4407.1651976116009</v>
      </c>
      <c r="D46" s="1604">
        <f t="array" ref="D46">SUM($I$30:$L$30*I46:L46)*C46</f>
        <v>317.46890972856716</v>
      </c>
      <c r="G46" s="65"/>
      <c r="H46" s="65"/>
      <c r="I46" s="1475">
        <v>0.19109999999999999</v>
      </c>
      <c r="J46" s="8">
        <v>6.7699999999999996E-2</v>
      </c>
      <c r="K46" s="8">
        <v>6.7699999999999996E-2</v>
      </c>
      <c r="L46" s="1489">
        <v>1.18E-2</v>
      </c>
    </row>
    <row r="47" spans="1:12" x14ac:dyDescent="0.25">
      <c r="A47" s="1429">
        <v>2016</v>
      </c>
      <c r="B47" s="1430">
        <f t="shared" si="1"/>
        <v>167.5</v>
      </c>
      <c r="C47" s="1503">
        <f>+B47*10^9/Uitgangspunten!B$73/10^6</f>
        <v>4762.5817458060847</v>
      </c>
      <c r="D47" s="1604">
        <f t="array" ref="D47">SUM($I$30:$L$30*I47:L47)*C47</f>
        <v>421.08181341878071</v>
      </c>
      <c r="G47" s="1472">
        <f>SUM(D40:D47)</f>
        <v>1867.6168889830383</v>
      </c>
      <c r="H47" s="65" t="s">
        <v>818</v>
      </c>
      <c r="I47" s="1475">
        <v>0.25168000000000001</v>
      </c>
      <c r="J47" s="8">
        <v>6.9540000000000005E-2</v>
      </c>
      <c r="K47" s="8">
        <v>6.9540000000000005E-2</v>
      </c>
      <c r="L47" s="1489">
        <v>1.2120000000000001E-2</v>
      </c>
    </row>
    <row r="48" spans="1:12" x14ac:dyDescent="0.25">
      <c r="A48" s="1429">
        <v>2017</v>
      </c>
      <c r="B48" s="1430">
        <f t="shared" si="1"/>
        <v>180</v>
      </c>
      <c r="C48" s="1503">
        <f>+B48*10^9/Uitgangspunten!B$73/10^6</f>
        <v>5117.9982940005684</v>
      </c>
      <c r="D48" s="1604">
        <f t="array" ref="D48">SUM($I$30:$L$30*I48:L48)*C48</f>
        <v>444.45567152261219</v>
      </c>
      <c r="I48" s="1475">
        <v>0.25244</v>
      </c>
      <c r="J48" s="8">
        <v>6.2149999999999997E-2</v>
      </c>
      <c r="K48" s="8">
        <v>6.2149999999999997E-2</v>
      </c>
      <c r="L48" s="1489">
        <v>1.2160000000000001E-2</v>
      </c>
    </row>
    <row r="49" spans="1:12" ht="15.75" x14ac:dyDescent="0.25">
      <c r="A49" s="1429">
        <v>2018</v>
      </c>
      <c r="B49" s="1430">
        <f t="shared" si="1"/>
        <v>192.5</v>
      </c>
      <c r="C49" s="1503">
        <f>+B49*10^9/Uitgangspunten!B$73/10^6</f>
        <v>5473.4148421950522</v>
      </c>
      <c r="D49" s="1604">
        <f t="array" ref="D49">SUM($I$30:$L$30*I49:L49)*C49</f>
        <v>475.32064871168245</v>
      </c>
      <c r="F49" s="1474">
        <f>Uitgangspunten!B56</f>
        <v>1</v>
      </c>
      <c r="G49" s="54" t="s">
        <v>1095</v>
      </c>
      <c r="H49" s="1473"/>
      <c r="I49" s="1490">
        <f>I$48</f>
        <v>0.25244</v>
      </c>
      <c r="J49" s="1339">
        <f t="shared" ref="J49:L64" si="2">J$48</f>
        <v>6.2149999999999997E-2</v>
      </c>
      <c r="K49" s="1339">
        <f t="shared" si="2"/>
        <v>6.2149999999999997E-2</v>
      </c>
      <c r="L49" s="1491">
        <f t="shared" si="2"/>
        <v>1.2160000000000001E-2</v>
      </c>
    </row>
    <row r="50" spans="1:12" x14ac:dyDescent="0.25">
      <c r="A50" s="1429">
        <v>2019</v>
      </c>
      <c r="B50" s="1430">
        <f t="shared" si="1"/>
        <v>205</v>
      </c>
      <c r="C50" s="1502">
        <f>+B50*10^9/Uitgangspunten!B$73/10^6</f>
        <v>5828.831390389536</v>
      </c>
      <c r="D50" s="1604">
        <f t="array" ref="D50">SUM($I$30:$L$30*I50:L50)*C50</f>
        <v>506.18562590075271</v>
      </c>
      <c r="I50" s="1490">
        <f t="shared" ref="I50:L66" si="3">I$48</f>
        <v>0.25244</v>
      </c>
      <c r="J50" s="1339">
        <f t="shared" si="2"/>
        <v>6.2149999999999997E-2</v>
      </c>
      <c r="K50" s="1339">
        <f t="shared" si="2"/>
        <v>6.2149999999999997E-2</v>
      </c>
      <c r="L50" s="1491">
        <f t="shared" si="2"/>
        <v>1.2160000000000001E-2</v>
      </c>
    </row>
    <row r="51" spans="1:12" x14ac:dyDescent="0.25">
      <c r="A51" s="1429">
        <v>2020</v>
      </c>
      <c r="B51" s="1430">
        <f t="shared" si="1"/>
        <v>217.5</v>
      </c>
      <c r="C51" s="1502">
        <f>+B51*10^9/Uitgangspunten!B$73/10^6</f>
        <v>6184.2479385840206</v>
      </c>
      <c r="D51" s="1604">
        <f t="array" ref="D51">SUM($I$30:$L$30*I51:L51)*C51</f>
        <v>537.05060308982308</v>
      </c>
      <c r="F51" s="1471">
        <f>SUM(D34:D51)*F49</f>
        <v>4119.0077104181655</v>
      </c>
      <c r="G51" s="208" t="s">
        <v>242</v>
      </c>
      <c r="I51" s="1490">
        <f t="shared" si="3"/>
        <v>0.25244</v>
      </c>
      <c r="J51" s="1339">
        <f t="shared" si="2"/>
        <v>6.2149999999999997E-2</v>
      </c>
      <c r="K51" s="1339">
        <f t="shared" si="2"/>
        <v>6.2149999999999997E-2</v>
      </c>
      <c r="L51" s="1491">
        <f t="shared" si="2"/>
        <v>1.2160000000000001E-2</v>
      </c>
    </row>
    <row r="52" spans="1:12" x14ac:dyDescent="0.25">
      <c r="A52" s="1429">
        <v>2021</v>
      </c>
      <c r="B52" s="1505">
        <f>+C9-E9</f>
        <v>230</v>
      </c>
      <c r="C52" s="1502">
        <f>+B52*10^9/Uitgangspunten!B$73/10^6</f>
        <v>6539.6644867785044</v>
      </c>
      <c r="D52" s="1604">
        <f t="array" ref="D52">SUM($I$30:$L$30*I52:L52)*C52</f>
        <v>567.91558027889334</v>
      </c>
      <c r="I52" s="1490">
        <f t="shared" si="3"/>
        <v>0.25244</v>
      </c>
      <c r="J52" s="1339">
        <f t="shared" si="2"/>
        <v>6.2149999999999997E-2</v>
      </c>
      <c r="K52" s="1339">
        <f t="shared" si="2"/>
        <v>6.2149999999999997E-2</v>
      </c>
      <c r="L52" s="1491">
        <f t="shared" si="2"/>
        <v>1.2160000000000001E-2</v>
      </c>
    </row>
    <row r="53" spans="1:12" x14ac:dyDescent="0.25">
      <c r="A53" s="1429">
        <v>2022</v>
      </c>
      <c r="B53" s="1506">
        <f>+B$52</f>
        <v>230</v>
      </c>
      <c r="C53" s="1502">
        <f>+B53*10^9/Uitgangspunten!B$73/10^6</f>
        <v>6539.6644867785044</v>
      </c>
      <c r="D53" s="1604">
        <f t="array" ref="D53">SUM($I$30:$L$30*I53:L53)*C53</f>
        <v>567.91558027889334</v>
      </c>
      <c r="I53" s="1490">
        <f t="shared" si="3"/>
        <v>0.25244</v>
      </c>
      <c r="J53" s="1339">
        <f t="shared" si="2"/>
        <v>6.2149999999999997E-2</v>
      </c>
      <c r="K53" s="1339">
        <f t="shared" si="2"/>
        <v>6.2149999999999997E-2</v>
      </c>
      <c r="L53" s="1491">
        <f t="shared" si="2"/>
        <v>1.2160000000000001E-2</v>
      </c>
    </row>
    <row r="54" spans="1:12" x14ac:dyDescent="0.25">
      <c r="A54" s="1429">
        <v>2023</v>
      </c>
      <c r="B54" s="1506">
        <f t="shared" ref="B54:B66" si="4">+B$52</f>
        <v>230</v>
      </c>
      <c r="C54" s="1502">
        <f>+B54*10^9/Uitgangspunten!B$73/10^6</f>
        <v>6539.6644867785044</v>
      </c>
      <c r="D54" s="1604">
        <f t="array" ref="D54">SUM($I$30:$L$30*I54:L54)*C54</f>
        <v>567.91558027889334</v>
      </c>
      <c r="I54" s="1490">
        <f t="shared" si="3"/>
        <v>0.25244</v>
      </c>
      <c r="J54" s="1339">
        <f t="shared" si="2"/>
        <v>6.2149999999999997E-2</v>
      </c>
      <c r="K54" s="1339">
        <f t="shared" si="2"/>
        <v>6.2149999999999997E-2</v>
      </c>
      <c r="L54" s="1491">
        <f t="shared" si="2"/>
        <v>1.2160000000000001E-2</v>
      </c>
    </row>
    <row r="55" spans="1:12" x14ac:dyDescent="0.25">
      <c r="A55" s="1429">
        <v>2024</v>
      </c>
      <c r="B55" s="1506">
        <f t="shared" si="4"/>
        <v>230</v>
      </c>
      <c r="C55" s="1502">
        <f>+B55*10^9/Uitgangspunten!B$73/10^6</f>
        <v>6539.6644867785044</v>
      </c>
      <c r="D55" s="1604">
        <f t="array" ref="D55">SUM($I$30:$L$30*I55:L55)*C55</f>
        <v>567.91558027889334</v>
      </c>
      <c r="I55" s="1490">
        <f t="shared" si="3"/>
        <v>0.25244</v>
      </c>
      <c r="J55" s="1339">
        <f t="shared" si="2"/>
        <v>6.2149999999999997E-2</v>
      </c>
      <c r="K55" s="1339">
        <f t="shared" si="2"/>
        <v>6.2149999999999997E-2</v>
      </c>
      <c r="L55" s="1491">
        <f t="shared" si="2"/>
        <v>1.2160000000000001E-2</v>
      </c>
    </row>
    <row r="56" spans="1:12" x14ac:dyDescent="0.25">
      <c r="A56" s="1429">
        <v>2025</v>
      </c>
      <c r="B56" s="1506">
        <f t="shared" si="4"/>
        <v>230</v>
      </c>
      <c r="C56" s="1502">
        <f>+B56*10^9/Uitgangspunten!B$73/10^6</f>
        <v>6539.6644867785044</v>
      </c>
      <c r="D56" s="1604">
        <f t="array" ref="D56">SUM($I$30:$L$30*I56:L56)*C56</f>
        <v>567.91558027889334</v>
      </c>
      <c r="I56" s="1490">
        <f t="shared" si="3"/>
        <v>0.25244</v>
      </c>
      <c r="J56" s="1339">
        <f t="shared" si="2"/>
        <v>6.2149999999999997E-2</v>
      </c>
      <c r="K56" s="1339">
        <f t="shared" si="2"/>
        <v>6.2149999999999997E-2</v>
      </c>
      <c r="L56" s="1491">
        <f t="shared" si="2"/>
        <v>1.2160000000000001E-2</v>
      </c>
    </row>
    <row r="57" spans="1:12" x14ac:dyDescent="0.25">
      <c r="A57" s="1429">
        <v>2026</v>
      </c>
      <c r="B57" s="1506">
        <f t="shared" si="4"/>
        <v>230</v>
      </c>
      <c r="C57" s="1502">
        <f>+B57*10^9/Uitgangspunten!B$73/10^6</f>
        <v>6539.6644867785044</v>
      </c>
      <c r="D57" s="1604">
        <f t="array" ref="D57">SUM($I$30:$L$30*I57:L57)*C57</f>
        <v>567.91558027889334</v>
      </c>
      <c r="I57" s="1490">
        <f t="shared" si="3"/>
        <v>0.25244</v>
      </c>
      <c r="J57" s="1339">
        <f t="shared" si="2"/>
        <v>6.2149999999999997E-2</v>
      </c>
      <c r="K57" s="1339">
        <f t="shared" si="2"/>
        <v>6.2149999999999997E-2</v>
      </c>
      <c r="L57" s="1491">
        <f t="shared" si="2"/>
        <v>1.2160000000000001E-2</v>
      </c>
    </row>
    <row r="58" spans="1:12" x14ac:dyDescent="0.25">
      <c r="A58" s="1429">
        <v>2027</v>
      </c>
      <c r="B58" s="1506">
        <f t="shared" si="4"/>
        <v>230</v>
      </c>
      <c r="C58" s="1502">
        <f>+B58*10^9/Uitgangspunten!B$73/10^6</f>
        <v>6539.6644867785044</v>
      </c>
      <c r="D58" s="1604">
        <f t="array" ref="D58">SUM($I$30:$L$30*I58:L58)*C58</f>
        <v>567.91558027889334</v>
      </c>
      <c r="I58" s="1490">
        <f t="shared" si="3"/>
        <v>0.25244</v>
      </c>
      <c r="J58" s="1339">
        <f t="shared" si="2"/>
        <v>6.2149999999999997E-2</v>
      </c>
      <c r="K58" s="1339">
        <f t="shared" si="2"/>
        <v>6.2149999999999997E-2</v>
      </c>
      <c r="L58" s="1491">
        <f t="shared" si="2"/>
        <v>1.2160000000000001E-2</v>
      </c>
    </row>
    <row r="59" spans="1:12" x14ac:dyDescent="0.25">
      <c r="A59" s="1429">
        <v>2028</v>
      </c>
      <c r="B59" s="1506">
        <f t="shared" si="4"/>
        <v>230</v>
      </c>
      <c r="C59" s="1502">
        <f>+B59*10^9/Uitgangspunten!B$73/10^6</f>
        <v>6539.6644867785044</v>
      </c>
      <c r="D59" s="1604">
        <f t="array" ref="D59">SUM($I$30:$L$30*I59:L59)*C59</f>
        <v>567.91558027889334</v>
      </c>
      <c r="I59" s="1490">
        <f t="shared" si="3"/>
        <v>0.25244</v>
      </c>
      <c r="J59" s="1339">
        <f t="shared" si="2"/>
        <v>6.2149999999999997E-2</v>
      </c>
      <c r="K59" s="1339">
        <f t="shared" si="2"/>
        <v>6.2149999999999997E-2</v>
      </c>
      <c r="L59" s="1491">
        <f t="shared" si="2"/>
        <v>1.2160000000000001E-2</v>
      </c>
    </row>
    <row r="60" spans="1:12" x14ac:dyDescent="0.25">
      <c r="A60" s="1429">
        <v>2029</v>
      </c>
      <c r="B60" s="1506">
        <f t="shared" si="4"/>
        <v>230</v>
      </c>
      <c r="C60" s="1502">
        <f>+B60*10^9/Uitgangspunten!B$73/10^6</f>
        <v>6539.6644867785044</v>
      </c>
      <c r="D60" s="1604">
        <f t="array" ref="D60">SUM($I$30:$L$30*I60:L60)*C60</f>
        <v>567.91558027889334</v>
      </c>
      <c r="I60" s="1490">
        <f t="shared" si="3"/>
        <v>0.25244</v>
      </c>
      <c r="J60" s="1339">
        <f t="shared" si="2"/>
        <v>6.2149999999999997E-2</v>
      </c>
      <c r="K60" s="1339">
        <f t="shared" si="2"/>
        <v>6.2149999999999997E-2</v>
      </c>
      <c r="L60" s="1491">
        <f t="shared" si="2"/>
        <v>1.2160000000000001E-2</v>
      </c>
    </row>
    <row r="61" spans="1:12" x14ac:dyDescent="0.25">
      <c r="A61" s="1429">
        <v>2030</v>
      </c>
      <c r="B61" s="1506">
        <f t="shared" si="4"/>
        <v>230</v>
      </c>
      <c r="C61" s="1502">
        <f>+B61*10^9/Uitgangspunten!B$73/10^6</f>
        <v>6539.6644867785044</v>
      </c>
      <c r="D61" s="1604">
        <f t="array" ref="D61">SUM($I$30:$L$30*I61:L61)*C61</f>
        <v>567.91558027889334</v>
      </c>
      <c r="I61" s="1490">
        <f t="shared" si="3"/>
        <v>0.25244</v>
      </c>
      <c r="J61" s="1339">
        <f t="shared" si="2"/>
        <v>6.2149999999999997E-2</v>
      </c>
      <c r="K61" s="1339">
        <f t="shared" si="2"/>
        <v>6.2149999999999997E-2</v>
      </c>
      <c r="L61" s="1491">
        <f t="shared" si="2"/>
        <v>1.2160000000000001E-2</v>
      </c>
    </row>
    <row r="62" spans="1:12" x14ac:dyDescent="0.25">
      <c r="A62" s="1429">
        <v>2031</v>
      </c>
      <c r="B62" s="1506">
        <f t="shared" si="4"/>
        <v>230</v>
      </c>
      <c r="C62" s="1502">
        <f>+B62*10^9/Uitgangspunten!B$73/10^6</f>
        <v>6539.6644867785044</v>
      </c>
      <c r="D62" s="1604">
        <f t="array" ref="D62">SUM($I$30:$L$30*I62:L62)*C62</f>
        <v>567.91558027889334</v>
      </c>
      <c r="I62" s="1490">
        <f t="shared" si="3"/>
        <v>0.25244</v>
      </c>
      <c r="J62" s="1339">
        <f t="shared" si="2"/>
        <v>6.2149999999999997E-2</v>
      </c>
      <c r="K62" s="1339">
        <f t="shared" si="2"/>
        <v>6.2149999999999997E-2</v>
      </c>
      <c r="L62" s="1491">
        <f t="shared" si="2"/>
        <v>1.2160000000000001E-2</v>
      </c>
    </row>
    <row r="63" spans="1:12" x14ac:dyDescent="0.25">
      <c r="A63" s="1429">
        <v>2032</v>
      </c>
      <c r="B63" s="1506">
        <f t="shared" si="4"/>
        <v>230</v>
      </c>
      <c r="C63" s="1502">
        <f>+B63*10^9/Uitgangspunten!B$73/10^6</f>
        <v>6539.6644867785044</v>
      </c>
      <c r="D63" s="1604">
        <f t="array" ref="D63">SUM($I$30:$L$30*I63:L63)*C63</f>
        <v>567.91558027889334</v>
      </c>
      <c r="I63" s="1490">
        <f t="shared" si="3"/>
        <v>0.25244</v>
      </c>
      <c r="J63" s="1339">
        <f t="shared" si="2"/>
        <v>6.2149999999999997E-2</v>
      </c>
      <c r="K63" s="1339">
        <f t="shared" si="2"/>
        <v>6.2149999999999997E-2</v>
      </c>
      <c r="L63" s="1491">
        <f t="shared" si="2"/>
        <v>1.2160000000000001E-2</v>
      </c>
    </row>
    <row r="64" spans="1:12" x14ac:dyDescent="0.25">
      <c r="A64" s="1429">
        <v>2033</v>
      </c>
      <c r="B64" s="1506">
        <f t="shared" si="4"/>
        <v>230</v>
      </c>
      <c r="C64" s="1502">
        <f>+B64*10^9/Uitgangspunten!B$73/10^6</f>
        <v>6539.6644867785044</v>
      </c>
      <c r="D64" s="1604">
        <f t="array" ref="D64">SUM($I$30:$L$30*I64:L64)*C64</f>
        <v>567.91558027889334</v>
      </c>
      <c r="I64" s="1490">
        <f t="shared" si="3"/>
        <v>0.25244</v>
      </c>
      <c r="J64" s="1339">
        <f t="shared" si="2"/>
        <v>6.2149999999999997E-2</v>
      </c>
      <c r="K64" s="1339">
        <f t="shared" si="2"/>
        <v>6.2149999999999997E-2</v>
      </c>
      <c r="L64" s="1491">
        <f t="shared" si="2"/>
        <v>1.2160000000000001E-2</v>
      </c>
    </row>
    <row r="65" spans="1:12" x14ac:dyDescent="0.25">
      <c r="A65" s="1429">
        <v>2034</v>
      </c>
      <c r="B65" s="1506">
        <f t="shared" si="4"/>
        <v>230</v>
      </c>
      <c r="C65" s="1502">
        <f>+B65*10^9/Uitgangspunten!B$73/10^6</f>
        <v>6539.6644867785044</v>
      </c>
      <c r="D65" s="1604">
        <f t="array" ref="D65">SUM($I$30:$L$30*I65:L65)*C65</f>
        <v>567.91558027889334</v>
      </c>
      <c r="I65" s="1490">
        <f t="shared" si="3"/>
        <v>0.25244</v>
      </c>
      <c r="J65" s="1339">
        <f t="shared" si="3"/>
        <v>6.2149999999999997E-2</v>
      </c>
      <c r="K65" s="1339">
        <f t="shared" si="3"/>
        <v>6.2149999999999997E-2</v>
      </c>
      <c r="L65" s="1491">
        <f t="shared" si="3"/>
        <v>1.2160000000000001E-2</v>
      </c>
    </row>
    <row r="66" spans="1:12" x14ac:dyDescent="0.25">
      <c r="A66" s="1429">
        <v>2035</v>
      </c>
      <c r="B66" s="1506">
        <f t="shared" si="4"/>
        <v>230</v>
      </c>
      <c r="C66" s="1502">
        <f>+B66*10^9/Uitgangspunten!B$73/10^6</f>
        <v>6539.6644867785044</v>
      </c>
      <c r="D66" s="1604">
        <f t="array" ref="D66">SUM($I$30:$L$30*I66:L66)*C66</f>
        <v>567.91558027889334</v>
      </c>
      <c r="F66" s="1471">
        <f>SUM(D52:D66)*F49</f>
        <v>8518.7337041834016</v>
      </c>
      <c r="G66" s="208" t="s">
        <v>47</v>
      </c>
      <c r="I66" s="1492">
        <f t="shared" si="3"/>
        <v>0.25244</v>
      </c>
      <c r="J66" s="1493">
        <f t="shared" si="3"/>
        <v>6.2149999999999997E-2</v>
      </c>
      <c r="K66" s="1493">
        <f t="shared" si="3"/>
        <v>6.2149999999999997E-2</v>
      </c>
      <c r="L66" s="1494">
        <f t="shared" si="3"/>
        <v>1.2160000000000001E-2</v>
      </c>
    </row>
    <row r="68" spans="1:12" x14ac:dyDescent="0.25">
      <c r="B68" s="1294"/>
      <c r="D68" s="863"/>
      <c r="F68" s="863"/>
      <c r="G68" s="1347"/>
      <c r="H68" s="1347"/>
    </row>
    <row r="70" spans="1:12" x14ac:dyDescent="0.25">
      <c r="A70" s="9" t="s">
        <v>446</v>
      </c>
      <c r="B70" s="11"/>
      <c r="C70" s="377"/>
      <c r="D70" s="378"/>
      <c r="E70" s="291"/>
      <c r="F70" s="291"/>
      <c r="G70" s="291"/>
      <c r="H70" s="291"/>
      <c r="I70" s="291"/>
      <c r="J70" s="291"/>
      <c r="K70" s="291"/>
      <c r="L70" s="291"/>
    </row>
    <row r="71" spans="1:12" ht="30" x14ac:dyDescent="0.25">
      <c r="A71" s="379" t="s">
        <v>1052</v>
      </c>
      <c r="B71" s="380">
        <v>25</v>
      </c>
      <c r="C71" s="377" t="s">
        <v>30</v>
      </c>
      <c r="D71" s="381">
        <v>2014</v>
      </c>
      <c r="E71" s="291"/>
      <c r="F71" s="291"/>
      <c r="G71" s="291"/>
      <c r="H71" s="291"/>
      <c r="I71" s="291"/>
      <c r="J71" s="291"/>
      <c r="K71" s="291"/>
      <c r="L71" s="291"/>
    </row>
    <row r="72" spans="1:12" x14ac:dyDescent="0.25">
      <c r="A72" s="379"/>
      <c r="B72" s="380">
        <v>35</v>
      </c>
      <c r="C72" s="377" t="s">
        <v>30</v>
      </c>
      <c r="D72" s="381">
        <v>2015</v>
      </c>
      <c r="E72" s="291"/>
      <c r="F72" s="291"/>
      <c r="G72" s="291"/>
      <c r="H72" s="291"/>
      <c r="I72" s="291"/>
      <c r="J72" s="291"/>
      <c r="K72" s="291"/>
      <c r="L72" s="291"/>
    </row>
    <row r="73" spans="1:12" x14ac:dyDescent="0.25">
      <c r="A73" s="379"/>
      <c r="B73" s="380">
        <v>45</v>
      </c>
      <c r="C73" s="377" t="s">
        <v>30</v>
      </c>
      <c r="D73" s="381">
        <v>2016</v>
      </c>
      <c r="E73" s="291"/>
      <c r="F73" s="291"/>
      <c r="G73" s="291"/>
      <c r="H73" s="291"/>
      <c r="I73" s="291"/>
      <c r="J73" s="291"/>
      <c r="K73" s="291"/>
      <c r="L73" s="291"/>
    </row>
    <row r="74" spans="1:12" x14ac:dyDescent="0.25">
      <c r="A74" s="379"/>
      <c r="B74" s="380">
        <v>50</v>
      </c>
      <c r="C74" s="377" t="s">
        <v>30</v>
      </c>
      <c r="D74" s="381">
        <v>2017</v>
      </c>
      <c r="E74" s="291"/>
      <c r="F74" s="291"/>
      <c r="G74" s="291"/>
      <c r="H74" s="291"/>
      <c r="I74" s="291"/>
      <c r="J74" s="291"/>
      <c r="K74" s="291"/>
      <c r="L74" s="291"/>
    </row>
    <row r="75" spans="1:12" x14ac:dyDescent="0.25">
      <c r="A75" s="379"/>
      <c r="B75" s="380">
        <v>50</v>
      </c>
      <c r="C75" s="377" t="s">
        <v>30</v>
      </c>
      <c r="D75" s="381">
        <v>2018</v>
      </c>
      <c r="E75" s="291"/>
      <c r="F75" s="291"/>
      <c r="G75" s="291"/>
      <c r="H75" s="291"/>
      <c r="I75" s="291"/>
      <c r="J75" s="291"/>
      <c r="K75" s="291"/>
      <c r="L75" s="291"/>
    </row>
    <row r="76" spans="1:12" x14ac:dyDescent="0.25">
      <c r="A76" s="379"/>
      <c r="B76" s="380">
        <v>50</v>
      </c>
      <c r="C76" s="377" t="s">
        <v>30</v>
      </c>
      <c r="D76" s="381">
        <v>2019</v>
      </c>
      <c r="E76" s="291"/>
      <c r="F76" s="291"/>
      <c r="G76" s="291"/>
      <c r="H76" s="291"/>
      <c r="I76" s="291"/>
      <c r="J76" s="291"/>
      <c r="K76" s="291"/>
      <c r="L76" s="291"/>
    </row>
    <row r="77" spans="1:12" x14ac:dyDescent="0.25">
      <c r="A77" s="379"/>
      <c r="B77" s="380">
        <v>50</v>
      </c>
      <c r="C77" s="377" t="s">
        <v>30</v>
      </c>
      <c r="D77" s="381">
        <v>2020</v>
      </c>
      <c r="E77" s="291"/>
      <c r="F77" s="291"/>
      <c r="G77" s="291"/>
      <c r="H77" s="291"/>
      <c r="I77" s="291"/>
      <c r="J77" s="291"/>
      <c r="K77" s="291"/>
      <c r="L77" s="291"/>
    </row>
    <row r="78" spans="1:12" x14ac:dyDescent="0.25">
      <c r="A78" s="379"/>
      <c r="B78" s="12"/>
      <c r="C78" s="377"/>
      <c r="D78" s="381"/>
      <c r="E78" s="291"/>
      <c r="F78" s="291"/>
      <c r="G78" s="291"/>
      <c r="H78" s="291"/>
      <c r="I78" s="291"/>
      <c r="J78" s="291"/>
      <c r="K78" s="291"/>
      <c r="L78" s="291"/>
    </row>
    <row r="79" spans="1:12" x14ac:dyDescent="0.25">
      <c r="A79" s="630" t="s">
        <v>32</v>
      </c>
      <c r="B79" s="4">
        <v>124</v>
      </c>
      <c r="C79" s="382" t="s">
        <v>33</v>
      </c>
      <c r="D79" s="4">
        <v>2014</v>
      </c>
      <c r="E79" s="291"/>
      <c r="F79" s="291"/>
      <c r="G79" s="291"/>
      <c r="H79" s="291"/>
      <c r="I79" s="291"/>
      <c r="J79" s="291"/>
      <c r="K79" s="291"/>
      <c r="L79" s="291"/>
    </row>
    <row r="80" spans="1:12" x14ac:dyDescent="0.25">
      <c r="A80" s="379"/>
      <c r="B80" s="380">
        <v>140</v>
      </c>
      <c r="C80" s="382" t="s">
        <v>33</v>
      </c>
      <c r="D80" s="381">
        <v>2013</v>
      </c>
      <c r="E80" s="291"/>
      <c r="F80" s="291"/>
      <c r="G80" s="291"/>
      <c r="H80" s="291"/>
      <c r="I80" s="291"/>
      <c r="J80" s="291"/>
      <c r="K80" s="291"/>
      <c r="L80" s="291"/>
    </row>
    <row r="81" spans="1:12" x14ac:dyDescent="0.25">
      <c r="A81" s="379"/>
      <c r="B81" s="380">
        <v>94</v>
      </c>
      <c r="C81" s="382" t="s">
        <v>33</v>
      </c>
      <c r="D81" s="381">
        <v>2012</v>
      </c>
      <c r="E81" s="291"/>
      <c r="F81" s="291"/>
      <c r="G81" s="291"/>
      <c r="H81" s="291"/>
      <c r="I81" s="291"/>
      <c r="J81" s="291"/>
      <c r="K81" s="291"/>
      <c r="L81" s="291"/>
    </row>
    <row r="82" spans="1:12" x14ac:dyDescent="0.25">
      <c r="A82" s="379"/>
      <c r="B82" s="380">
        <v>116</v>
      </c>
      <c r="C82" s="382" t="s">
        <v>33</v>
      </c>
      <c r="D82" s="381">
        <v>2011</v>
      </c>
      <c r="E82" s="291"/>
      <c r="F82" s="291"/>
      <c r="G82" s="291"/>
      <c r="H82" s="291"/>
      <c r="I82" s="291"/>
      <c r="J82" s="291"/>
      <c r="K82" s="291"/>
      <c r="L82" s="291"/>
    </row>
    <row r="83" spans="1:12" x14ac:dyDescent="0.25">
      <c r="A83" s="376"/>
      <c r="B83" s="377"/>
      <c r="C83" s="377"/>
      <c r="D83" s="377"/>
      <c r="E83" s="291"/>
      <c r="F83" s="291"/>
      <c r="G83" s="291"/>
      <c r="H83" s="291"/>
      <c r="I83" s="291"/>
      <c r="J83" s="291"/>
      <c r="K83" s="291"/>
      <c r="L83" s="291"/>
    </row>
    <row r="84" spans="1:12" x14ac:dyDescent="0.25">
      <c r="A84" s="630" t="s">
        <v>31</v>
      </c>
      <c r="B84" s="136">
        <v>166</v>
      </c>
      <c r="C84" s="136"/>
      <c r="D84" s="136">
        <v>2017</v>
      </c>
      <c r="E84" s="291"/>
      <c r="F84" s="1080" t="s">
        <v>827</v>
      </c>
      <c r="G84" s="291"/>
      <c r="H84" s="291"/>
      <c r="I84" s="291"/>
      <c r="J84" s="291"/>
      <c r="K84" s="291"/>
      <c r="L84" s="291"/>
    </row>
    <row r="85" spans="1:12" x14ac:dyDescent="0.25">
      <c r="B85" s="136">
        <v>161</v>
      </c>
      <c r="C85" s="136"/>
      <c r="D85" s="136">
        <v>2016</v>
      </c>
      <c r="E85" s="291"/>
      <c r="F85" s="291"/>
      <c r="G85" s="291"/>
      <c r="H85" s="291"/>
      <c r="I85" s="291"/>
      <c r="J85" s="291"/>
      <c r="K85" s="291"/>
      <c r="L85" s="291"/>
    </row>
    <row r="86" spans="1:12" x14ac:dyDescent="0.25">
      <c r="A86" s="379"/>
      <c r="B86" s="136">
        <v>106</v>
      </c>
      <c r="C86" s="136"/>
      <c r="D86" s="136">
        <v>2015</v>
      </c>
      <c r="E86" s="291"/>
      <c r="F86" s="1080" t="s">
        <v>828</v>
      </c>
      <c r="G86" s="291"/>
      <c r="H86" s="291"/>
      <c r="I86" s="291"/>
      <c r="J86" s="291"/>
      <c r="K86" s="291"/>
      <c r="L86" s="291"/>
    </row>
    <row r="87" spans="1:12" x14ac:dyDescent="0.25">
      <c r="A87" s="4"/>
      <c r="B87" s="4">
        <v>111</v>
      </c>
      <c r="C87" s="382" t="s">
        <v>33</v>
      </c>
      <c r="D87" s="4">
        <v>2014</v>
      </c>
      <c r="E87" s="291"/>
      <c r="F87" s="291"/>
      <c r="G87" s="291"/>
      <c r="H87" s="291"/>
      <c r="I87" s="291"/>
      <c r="J87" s="291"/>
      <c r="K87" s="291"/>
      <c r="L87" s="291"/>
    </row>
    <row r="88" spans="1:12" x14ac:dyDescent="0.25">
      <c r="A88" s="379"/>
      <c r="B88" s="380">
        <v>150</v>
      </c>
      <c r="C88" s="382" t="s">
        <v>33</v>
      </c>
      <c r="D88" s="381">
        <v>2013</v>
      </c>
      <c r="E88" s="291"/>
      <c r="F88" s="291"/>
      <c r="G88" s="291"/>
      <c r="H88" s="291"/>
      <c r="I88" s="291"/>
      <c r="J88" s="291"/>
      <c r="K88" s="291"/>
      <c r="L88" s="291"/>
    </row>
    <row r="89" spans="1:12" x14ac:dyDescent="0.25">
      <c r="A89" s="379"/>
      <c r="B89" s="380">
        <v>150</v>
      </c>
      <c r="C89" s="382" t="s">
        <v>33</v>
      </c>
      <c r="D89" s="381">
        <v>2012</v>
      </c>
      <c r="E89" s="291"/>
      <c r="F89" s="291"/>
      <c r="G89" s="291"/>
      <c r="H89" s="291"/>
      <c r="I89" s="291"/>
      <c r="J89" s="291"/>
      <c r="K89" s="291"/>
      <c r="L89" s="291"/>
    </row>
    <row r="90" spans="1:12" x14ac:dyDescent="0.25">
      <c r="A90" s="379"/>
      <c r="B90" s="380">
        <v>151</v>
      </c>
      <c r="C90" s="382" t="s">
        <v>33</v>
      </c>
      <c r="D90" s="383">
        <v>2011</v>
      </c>
      <c r="E90" s="291"/>
      <c r="F90" s="291"/>
      <c r="G90" s="291"/>
      <c r="H90" s="291"/>
      <c r="I90" s="291"/>
      <c r="J90" s="291"/>
      <c r="K90" s="291"/>
      <c r="L90" s="291"/>
    </row>
    <row r="91" spans="1:12" ht="15.75" thickBot="1" x14ac:dyDescent="0.3">
      <c r="A91" s="376"/>
      <c r="B91" s="291"/>
      <c r="C91" s="377"/>
      <c r="D91" s="291"/>
      <c r="E91" s="291"/>
      <c r="F91" s="291"/>
      <c r="G91" s="291"/>
      <c r="H91" s="291"/>
      <c r="I91" s="291"/>
      <c r="J91" s="291"/>
      <c r="K91" s="291"/>
      <c r="L91" s="291"/>
    </row>
    <row r="92" spans="1:12" ht="45.75" thickBot="1" x14ac:dyDescent="0.3">
      <c r="A92" s="1089" t="s">
        <v>836</v>
      </c>
      <c r="B92" s="631">
        <f>+Uitgangspunten!B54</f>
        <v>150</v>
      </c>
      <c r="C92" s="381" t="s">
        <v>186</v>
      </c>
      <c r="D92" s="381"/>
      <c r="E92" s="291"/>
      <c r="F92" s="251">
        <f>18*B92*F49</f>
        <v>2700</v>
      </c>
      <c r="G92" s="208" t="s">
        <v>242</v>
      </c>
      <c r="H92" s="65"/>
      <c r="I92" s="291"/>
      <c r="J92" s="291"/>
      <c r="K92" s="291"/>
      <c r="L92" s="291"/>
    </row>
    <row r="93" spans="1:12" ht="15.75" thickBot="1" x14ac:dyDescent="0.3">
      <c r="A93" s="376"/>
      <c r="B93" s="291"/>
      <c r="C93" s="291"/>
      <c r="D93" s="291"/>
      <c r="E93" s="291"/>
      <c r="F93" s="65"/>
      <c r="G93" s="65"/>
      <c r="H93" s="65"/>
      <c r="I93" s="291"/>
      <c r="J93" s="291"/>
      <c r="K93" s="291"/>
      <c r="L93" s="291"/>
    </row>
    <row r="94" spans="1:12" ht="15.75" thickBot="1" x14ac:dyDescent="0.3">
      <c r="A94" s="376"/>
      <c r="B94" s="291"/>
      <c r="C94" s="291"/>
      <c r="D94" s="291"/>
      <c r="E94" s="291"/>
      <c r="F94" s="251">
        <v>0</v>
      </c>
      <c r="G94" s="208" t="s">
        <v>47</v>
      </c>
      <c r="H94" s="65"/>
      <c r="I94" s="291"/>
      <c r="J94" s="291"/>
      <c r="K94" s="291"/>
      <c r="L94" s="291"/>
    </row>
    <row r="95" spans="1:12" x14ac:dyDescent="0.25">
      <c r="F95" s="65"/>
      <c r="G95" s="65"/>
      <c r="H95" s="65"/>
    </row>
  </sheetData>
  <mergeCells count="3">
    <mergeCell ref="I22:M23"/>
    <mergeCell ref="D4:I4"/>
    <mergeCell ref="A21:H21"/>
  </mergeCells>
  <conditionalFormatting sqref="E17">
    <cfRule type="cellIs" dxfId="1" priority="1" operator="notEqual">
      <formula>170.9/2047</formula>
    </cfRule>
    <cfRule type="cellIs" dxfId="0" priority="2" operator="equal">
      <formula>170.9/2047</formula>
    </cfRule>
  </conditionalFormatting>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7"/>
  <sheetViews>
    <sheetView zoomScale="80" zoomScaleNormal="80" workbookViewId="0">
      <selection activeCell="B4" sqref="B4"/>
    </sheetView>
  </sheetViews>
  <sheetFormatPr defaultColWidth="9.140625" defaultRowHeight="15" x14ac:dyDescent="0.25"/>
  <cols>
    <col min="1" max="1" width="42.140625" style="65" customWidth="1"/>
    <col min="2" max="2" width="20.140625" style="65" customWidth="1"/>
    <col min="3" max="3" width="22.42578125" style="65" customWidth="1"/>
    <col min="4" max="4" width="20.28515625" style="102" customWidth="1"/>
    <col min="5" max="5" width="12.140625" style="102" customWidth="1"/>
    <col min="6" max="6" width="15.42578125" style="102" customWidth="1"/>
    <col min="7" max="7" width="20.5703125" style="102" customWidth="1"/>
    <col min="8" max="8" width="17.5703125" style="102" customWidth="1"/>
    <col min="9" max="9" width="16.7109375" style="102" customWidth="1"/>
    <col min="10" max="10" width="11" style="65" customWidth="1"/>
    <col min="11" max="16384" width="9.140625" style="65"/>
  </cols>
  <sheetData>
    <row r="1" spans="1:8" ht="21" x14ac:dyDescent="0.35">
      <c r="A1" s="252" t="s">
        <v>912</v>
      </c>
      <c r="B1" s="253"/>
      <c r="C1" s="253"/>
      <c r="D1" s="253"/>
      <c r="E1" s="253"/>
      <c r="F1" s="253"/>
      <c r="G1" s="253"/>
    </row>
    <row r="2" spans="1:8" s="125" customFormat="1" x14ac:dyDescent="0.25">
      <c r="A2" s="138"/>
    </row>
    <row r="3" spans="1:8" s="125" customFormat="1" ht="15.75" x14ac:dyDescent="0.25">
      <c r="A3" s="122" t="s">
        <v>287</v>
      </c>
      <c r="B3" s="122"/>
      <c r="C3" s="122"/>
      <c r="D3" s="122"/>
      <c r="E3" s="122"/>
      <c r="F3" s="122"/>
      <c r="G3" s="122"/>
    </row>
    <row r="4" spans="1:8" s="125" customFormat="1" ht="15.75" x14ac:dyDescent="0.25">
      <c r="A4" s="122" t="s">
        <v>219</v>
      </c>
      <c r="B4" s="350">
        <f>+C34+2999</f>
        <v>10999</v>
      </c>
      <c r="C4" s="122" t="s">
        <v>479</v>
      </c>
      <c r="D4" s="122"/>
      <c r="E4" s="122"/>
      <c r="F4" s="122"/>
      <c r="G4" s="122"/>
    </row>
    <row r="5" spans="1:8" s="125" customFormat="1" ht="15.75" x14ac:dyDescent="0.25">
      <c r="A5" s="122"/>
      <c r="B5" s="254"/>
      <c r="C5" s="122"/>
      <c r="D5" s="122"/>
      <c r="E5" s="122"/>
      <c r="F5" s="122"/>
      <c r="G5" s="122"/>
    </row>
    <row r="6" spans="1:8" s="102" customFormat="1" ht="15.75" x14ac:dyDescent="0.25">
      <c r="A6" s="122" t="s">
        <v>485</v>
      </c>
      <c r="B6" s="255"/>
      <c r="C6" s="256"/>
      <c r="D6" s="139"/>
      <c r="E6" s="123"/>
      <c r="F6" s="124"/>
      <c r="G6" s="123"/>
      <c r="H6" s="201"/>
    </row>
    <row r="7" spans="1:8" s="102" customFormat="1" ht="15.75" x14ac:dyDescent="0.25">
      <c r="A7" s="122" t="s">
        <v>475</v>
      </c>
      <c r="B7" s="255">
        <v>10500</v>
      </c>
      <c r="C7" s="122" t="s">
        <v>138</v>
      </c>
      <c r="D7" s="83"/>
      <c r="E7" s="65"/>
      <c r="F7" s="124"/>
      <c r="G7" s="123"/>
      <c r="H7" s="201"/>
    </row>
    <row r="8" spans="1:8" s="102" customFormat="1" ht="15.75" x14ac:dyDescent="0.25">
      <c r="A8" s="122" t="s">
        <v>476</v>
      </c>
      <c r="B8" s="255">
        <v>10000</v>
      </c>
      <c r="C8" s="122" t="s">
        <v>138</v>
      </c>
      <c r="D8" s="83"/>
      <c r="E8" s="65"/>
      <c r="F8" s="124"/>
      <c r="G8" s="123"/>
      <c r="H8" s="201"/>
    </row>
    <row r="9" spans="1:8" s="102" customFormat="1" ht="15.75" x14ac:dyDescent="0.25">
      <c r="A9" s="122" t="s">
        <v>210</v>
      </c>
      <c r="B9" s="255">
        <v>6200</v>
      </c>
      <c r="C9" s="122" t="s">
        <v>138</v>
      </c>
      <c r="D9" s="83"/>
      <c r="E9" s="65"/>
      <c r="F9" s="124"/>
      <c r="G9" s="123"/>
      <c r="H9" s="201"/>
    </row>
    <row r="10" spans="1:8" s="102" customFormat="1" ht="15.75" x14ac:dyDescent="0.25">
      <c r="A10" s="131"/>
      <c r="B10" s="257">
        <f>SUM(B7:B9)</f>
        <v>26700</v>
      </c>
      <c r="C10" s="122" t="s">
        <v>138</v>
      </c>
      <c r="D10" s="83"/>
      <c r="E10" s="65"/>
      <c r="F10" s="124"/>
      <c r="G10" s="123"/>
      <c r="H10" s="201"/>
    </row>
    <row r="11" spans="1:8" s="102" customFormat="1" ht="15.75" x14ac:dyDescent="0.25">
      <c r="A11" s="122"/>
      <c r="B11" s="122"/>
      <c r="C11" s="122"/>
      <c r="D11" s="125"/>
      <c r="E11" s="125"/>
      <c r="F11" s="124"/>
      <c r="G11" s="123"/>
      <c r="H11" s="201"/>
    </row>
    <row r="12" spans="1:8" s="102" customFormat="1" ht="15.75" x14ac:dyDescent="0.25">
      <c r="A12" s="122" t="s">
        <v>486</v>
      </c>
      <c r="B12" s="122"/>
      <c r="C12" s="122"/>
      <c r="D12" s="125"/>
      <c r="E12" s="125"/>
      <c r="F12" s="124"/>
      <c r="G12" s="123"/>
      <c r="H12" s="201"/>
    </row>
    <row r="13" spans="1:8" s="102" customFormat="1" ht="15.75" x14ac:dyDescent="0.25">
      <c r="A13" s="122" t="s">
        <v>913</v>
      </c>
      <c r="B13" s="122"/>
      <c r="C13" s="122"/>
      <c r="D13" s="125"/>
      <c r="E13" s="125"/>
      <c r="F13" s="124"/>
      <c r="G13" s="123"/>
      <c r="H13" s="201"/>
    </row>
    <row r="14" spans="1:8" s="102" customFormat="1" ht="31.5" x14ac:dyDescent="0.25">
      <c r="A14" s="353" t="s">
        <v>483</v>
      </c>
      <c r="B14" s="255">
        <v>7500</v>
      </c>
      <c r="C14" s="122" t="s">
        <v>138</v>
      </c>
      <c r="D14" s="125"/>
      <c r="E14" s="125"/>
      <c r="F14" s="124"/>
      <c r="G14" s="123"/>
      <c r="H14" s="201"/>
    </row>
    <row r="15" spans="1:8" s="102" customFormat="1" ht="31.5" x14ac:dyDescent="0.25">
      <c r="A15" s="353" t="s">
        <v>482</v>
      </c>
      <c r="B15" s="255">
        <v>8000</v>
      </c>
      <c r="C15" s="122" t="s">
        <v>138</v>
      </c>
      <c r="D15" s="125"/>
      <c r="E15" s="125"/>
      <c r="F15" s="124"/>
      <c r="G15" s="123"/>
      <c r="H15" s="201"/>
    </row>
    <row r="16" spans="1:8" s="102" customFormat="1" ht="15.75" x14ac:dyDescent="0.25">
      <c r="A16" s="131"/>
      <c r="B16" s="257">
        <f>SUM(B14:B15)</f>
        <v>15500</v>
      </c>
      <c r="C16" s="122" t="s">
        <v>138</v>
      </c>
      <c r="D16" s="125"/>
      <c r="E16" s="125"/>
      <c r="F16" s="124"/>
      <c r="G16" s="123"/>
      <c r="H16" s="201"/>
    </row>
    <row r="17" spans="1:10" s="102" customFormat="1" ht="15.75" x14ac:dyDescent="0.25">
      <c r="A17" s="122" t="s">
        <v>484</v>
      </c>
      <c r="B17" s="122"/>
      <c r="C17" s="122"/>
      <c r="D17" s="125"/>
      <c r="E17" s="125"/>
      <c r="F17" s="124"/>
      <c r="G17" s="123"/>
      <c r="H17" s="201"/>
    </row>
    <row r="18" spans="1:10" s="102" customFormat="1" ht="15.75" x14ac:dyDescent="0.25">
      <c r="A18" s="122" t="s">
        <v>480</v>
      </c>
      <c r="B18" s="122"/>
      <c r="C18" s="122"/>
      <c r="D18" s="125"/>
      <c r="E18" s="125"/>
      <c r="F18" s="124"/>
      <c r="G18" s="123"/>
      <c r="H18" s="201"/>
    </row>
    <row r="19" spans="1:10" s="102" customFormat="1" ht="15.75" x14ac:dyDescent="0.25">
      <c r="B19" s="122"/>
      <c r="C19" s="122"/>
      <c r="D19" s="125"/>
      <c r="E19" s="125"/>
      <c r="F19" s="124"/>
      <c r="G19" s="123"/>
      <c r="H19" s="201"/>
    </row>
    <row r="20" spans="1:10" x14ac:dyDescent="0.25">
      <c r="C20" s="768"/>
    </row>
    <row r="21" spans="1:10" s="125" customFormat="1" ht="15.75" x14ac:dyDescent="0.25">
      <c r="A21" s="122" t="s">
        <v>914</v>
      </c>
      <c r="B21" s="122"/>
      <c r="C21" s="122"/>
      <c r="D21" s="122"/>
      <c r="E21" s="122"/>
      <c r="F21" s="122"/>
      <c r="H21" s="122" t="s">
        <v>662</v>
      </c>
    </row>
    <row r="22" spans="1:10" ht="120" customHeight="1" x14ac:dyDescent="0.25">
      <c r="A22" s="966"/>
      <c r="B22" s="126" t="s">
        <v>714</v>
      </c>
      <c r="C22" s="126" t="s">
        <v>911</v>
      </c>
      <c r="D22" s="967" t="s">
        <v>16</v>
      </c>
      <c r="E22" s="122"/>
      <c r="G22" s="625"/>
      <c r="H22" s="165" t="s">
        <v>474</v>
      </c>
      <c r="I22" s="165" t="s">
        <v>471</v>
      </c>
      <c r="J22" s="102"/>
    </row>
    <row r="23" spans="1:10" ht="15.75" x14ac:dyDescent="0.25">
      <c r="A23" s="82" t="s">
        <v>17</v>
      </c>
      <c r="B23" s="74"/>
      <c r="C23" s="99">
        <v>147</v>
      </c>
      <c r="D23" s="769">
        <f>+C23+B23</f>
        <v>147</v>
      </c>
      <c r="E23" s="256"/>
      <c r="H23" s="136"/>
      <c r="I23" s="248">
        <f>0.007*I34</f>
        <v>5.4465950000000003</v>
      </c>
      <c r="J23" s="102"/>
    </row>
    <row r="24" spans="1:10" ht="15.75" x14ac:dyDescent="0.25">
      <c r="A24" s="82" t="s">
        <v>218</v>
      </c>
      <c r="B24" s="99">
        <v>1544.7</v>
      </c>
      <c r="C24" s="99">
        <f>+(72+1352+875+198+2)</f>
        <v>2499</v>
      </c>
      <c r="D24" s="769">
        <f>+C24+B24</f>
        <v>4043.7</v>
      </c>
      <c r="E24" s="256"/>
      <c r="F24" s="125"/>
      <c r="G24" s="125"/>
      <c r="H24" s="136">
        <v>238.7</v>
      </c>
      <c r="I24" s="639">
        <f>0.444*I34-I25</f>
        <v>266.96974</v>
      </c>
      <c r="J24" s="102"/>
    </row>
    <row r="25" spans="1:10" ht="15.75" x14ac:dyDescent="0.25">
      <c r="A25" s="82" t="s">
        <v>226</v>
      </c>
      <c r="B25" s="964">
        <f>+D39+D40</f>
        <v>780.84999999999991</v>
      </c>
      <c r="C25" s="965"/>
      <c r="D25" s="774">
        <f>+C25+B25</f>
        <v>780.84999999999991</v>
      </c>
      <c r="E25" s="256"/>
      <c r="F25" s="125"/>
      <c r="G25" s="125"/>
      <c r="H25" s="136">
        <v>68</v>
      </c>
      <c r="I25" s="639">
        <v>78.5</v>
      </c>
      <c r="J25" s="102"/>
    </row>
    <row r="26" spans="1:10" ht="15.75" x14ac:dyDescent="0.25">
      <c r="A26" s="82" t="s">
        <v>171</v>
      </c>
      <c r="B26" s="74"/>
      <c r="C26" s="99">
        <v>253</v>
      </c>
      <c r="D26" s="769">
        <f t="shared" ref="D26:D31" si="0">+C26+B26</f>
        <v>253</v>
      </c>
      <c r="E26" s="256"/>
      <c r="H26" s="136">
        <v>3.5</v>
      </c>
      <c r="I26" s="248">
        <v>12</v>
      </c>
      <c r="J26" s="102"/>
    </row>
    <row r="27" spans="1:10" ht="15.75" x14ac:dyDescent="0.25">
      <c r="A27" s="258" t="s">
        <v>227</v>
      </c>
      <c r="B27" s="770"/>
      <c r="C27" s="99"/>
      <c r="D27" s="769">
        <f t="shared" si="0"/>
        <v>0</v>
      </c>
      <c r="E27" s="256"/>
      <c r="H27" s="136"/>
      <c r="I27" s="136"/>
      <c r="J27" s="102"/>
    </row>
    <row r="28" spans="1:10" ht="15.75" x14ac:dyDescent="0.25">
      <c r="A28" s="258" t="s">
        <v>41</v>
      </c>
      <c r="B28" s="770"/>
      <c r="C28" s="99"/>
      <c r="D28" s="769">
        <f t="shared" si="0"/>
        <v>0</v>
      </c>
      <c r="E28" s="256"/>
      <c r="H28" s="136"/>
      <c r="I28" s="638">
        <f>0.001*I34</f>
        <v>0.77808500000000003</v>
      </c>
      <c r="J28" s="125"/>
    </row>
    <row r="29" spans="1:10" ht="15.75" x14ac:dyDescent="0.25">
      <c r="A29" s="258" t="s">
        <v>228</v>
      </c>
      <c r="B29" s="770"/>
      <c r="C29" s="99"/>
      <c r="D29" s="769">
        <f t="shared" si="0"/>
        <v>0</v>
      </c>
      <c r="E29" s="256"/>
      <c r="H29" s="136"/>
      <c r="I29" s="160"/>
      <c r="J29" s="125"/>
    </row>
    <row r="30" spans="1:10" ht="31.5" x14ac:dyDescent="0.25">
      <c r="A30" s="1120" t="s">
        <v>910</v>
      </c>
      <c r="B30" s="99">
        <f>+B14-B24-B25</f>
        <v>5174.4500000000007</v>
      </c>
      <c r="C30" s="99">
        <f>+B15-C23-C24-C26</f>
        <v>5101</v>
      </c>
      <c r="D30" s="769">
        <f t="shared" si="0"/>
        <v>10275.450000000001</v>
      </c>
      <c r="H30" s="136">
        <v>372</v>
      </c>
      <c r="I30" s="640">
        <f>0.545*I34-I31</f>
        <v>394.05632500000007</v>
      </c>
      <c r="J30" s="125" t="s">
        <v>473</v>
      </c>
    </row>
    <row r="31" spans="1:10" ht="15.75" x14ac:dyDescent="0.25">
      <c r="A31" s="771" t="s">
        <v>472</v>
      </c>
      <c r="B31" s="99"/>
      <c r="C31" s="99"/>
      <c r="D31" s="769">
        <f t="shared" si="0"/>
        <v>0</v>
      </c>
      <c r="H31" s="136"/>
      <c r="I31" s="640">
        <v>30</v>
      </c>
      <c r="J31" s="125"/>
    </row>
    <row r="32" spans="1:10" ht="15.75" x14ac:dyDescent="0.25">
      <c r="A32" s="772"/>
      <c r="B32" s="773"/>
      <c r="C32" s="773"/>
      <c r="D32" s="774"/>
      <c r="E32" s="125"/>
      <c r="H32" s="1099">
        <f>SUM(H23:H31)</f>
        <v>682.2</v>
      </c>
      <c r="I32" s="641">
        <f>SUM(I23:I31)</f>
        <v>787.75074500000005</v>
      </c>
      <c r="J32" s="125"/>
    </row>
    <row r="33" spans="1:10" ht="31.5" x14ac:dyDescent="0.25">
      <c r="A33" s="771"/>
      <c r="B33" s="99"/>
      <c r="C33" s="99"/>
      <c r="D33" s="769"/>
      <c r="E33" s="125"/>
      <c r="G33" s="878" t="s">
        <v>666</v>
      </c>
      <c r="H33" s="136">
        <v>680</v>
      </c>
      <c r="I33" s="640">
        <v>680</v>
      </c>
      <c r="J33" s="125" t="s">
        <v>665</v>
      </c>
    </row>
    <row r="34" spans="1:10" ht="47.25" x14ac:dyDescent="0.25">
      <c r="A34" s="775" t="s">
        <v>478</v>
      </c>
      <c r="B34" s="776">
        <f>SUM(B23:B31)</f>
        <v>7500.0000000000009</v>
      </c>
      <c r="C34" s="777">
        <f>SUM(C23:C31)</f>
        <v>8000</v>
      </c>
      <c r="D34" s="968">
        <f>SUM(D23:D31)</f>
        <v>15500</v>
      </c>
      <c r="E34" s="256"/>
      <c r="G34" s="878" t="s">
        <v>667</v>
      </c>
      <c r="H34" s="1098">
        <f>+Resultaatgrafiek!E14</f>
        <v>753.08500000000004</v>
      </c>
      <c r="I34" s="879">
        <f>+Resultaatgrafiek!E16</f>
        <v>778.08500000000004</v>
      </c>
      <c r="J34" s="125" t="s">
        <v>664</v>
      </c>
    </row>
    <row r="35" spans="1:10" ht="15.75" x14ac:dyDescent="0.25">
      <c r="A35" s="117"/>
      <c r="B35" s="117"/>
      <c r="C35" s="778"/>
      <c r="D35" s="256"/>
      <c r="E35" s="259"/>
      <c r="G35" s="122"/>
      <c r="H35" s="125"/>
      <c r="I35" s="125"/>
    </row>
    <row r="36" spans="1:10" x14ac:dyDescent="0.25">
      <c r="A36" s="83" t="s">
        <v>1027</v>
      </c>
      <c r="B36" s="83"/>
      <c r="C36" s="83"/>
      <c r="D36" s="125"/>
      <c r="E36" s="125"/>
      <c r="F36" s="83"/>
      <c r="G36" s="125"/>
      <c r="H36" s="125"/>
    </row>
    <row r="37" spans="1:10" ht="75" x14ac:dyDescent="0.25">
      <c r="A37" s="160" t="s">
        <v>705</v>
      </c>
      <c r="B37" s="160" t="s">
        <v>11</v>
      </c>
      <c r="C37" s="160" t="s">
        <v>708</v>
      </c>
      <c r="D37" s="172" t="s">
        <v>711</v>
      </c>
      <c r="E37" s="172" t="s">
        <v>713</v>
      </c>
      <c r="F37" s="172" t="s">
        <v>844</v>
      </c>
      <c r="G37" s="136"/>
      <c r="H37" s="172" t="s">
        <v>712</v>
      </c>
      <c r="I37" s="172" t="s">
        <v>709</v>
      </c>
    </row>
    <row r="38" spans="1:10" x14ac:dyDescent="0.25">
      <c r="A38" s="959" t="s">
        <v>707</v>
      </c>
      <c r="B38" s="160"/>
      <c r="C38" s="160"/>
      <c r="D38" s="160"/>
      <c r="E38" s="160"/>
      <c r="F38" s="160"/>
      <c r="G38" s="136"/>
      <c r="H38" s="160"/>
      <c r="I38" s="160"/>
    </row>
    <row r="39" spans="1:10" x14ac:dyDescent="0.25">
      <c r="A39" s="160" t="s">
        <v>706</v>
      </c>
      <c r="B39" s="160">
        <v>108</v>
      </c>
      <c r="C39" s="160">
        <v>200</v>
      </c>
      <c r="D39" s="960">
        <f>E39*10^6*F39*H39/10^6</f>
        <v>358.9</v>
      </c>
      <c r="E39" s="160">
        <v>370</v>
      </c>
      <c r="F39" s="1114">
        <v>9.7000000000000003E-2</v>
      </c>
      <c r="G39" s="136"/>
      <c r="H39" s="160">
        <v>10</v>
      </c>
      <c r="I39" s="160">
        <v>2007</v>
      </c>
    </row>
    <row r="40" spans="1:10" x14ac:dyDescent="0.25">
      <c r="A40" s="160" t="s">
        <v>710</v>
      </c>
      <c r="B40" s="160">
        <v>120</v>
      </c>
      <c r="C40" s="160">
        <v>390</v>
      </c>
      <c r="D40" s="960">
        <f>E40*10^6*F40*H40/10^6</f>
        <v>421.95</v>
      </c>
      <c r="E40" s="160">
        <v>435</v>
      </c>
      <c r="F40" s="1114">
        <v>9.7000000000000003E-2</v>
      </c>
      <c r="G40" s="136"/>
      <c r="H40" s="160">
        <v>10</v>
      </c>
      <c r="I40" s="160">
        <v>2008</v>
      </c>
    </row>
    <row r="41" spans="1:10" x14ac:dyDescent="0.25">
      <c r="A41" s="160"/>
      <c r="B41" s="160"/>
      <c r="C41" s="160"/>
      <c r="D41" s="960"/>
      <c r="E41" s="160"/>
      <c r="F41" s="961"/>
      <c r="G41" s="136"/>
      <c r="H41" s="160"/>
      <c r="I41" s="160"/>
    </row>
    <row r="42" spans="1:10" s="102" customFormat="1" x14ac:dyDescent="0.25">
      <c r="A42" s="160" t="s">
        <v>8</v>
      </c>
      <c r="B42" s="962">
        <f>SUM(B39:B41)</f>
        <v>228</v>
      </c>
      <c r="C42" s="160"/>
      <c r="D42" s="963">
        <f>SUM(D39:D41)</f>
        <v>780.84999999999991</v>
      </c>
      <c r="E42" s="963">
        <f>SUM(E39:E41)</f>
        <v>805</v>
      </c>
      <c r="F42" s="160"/>
      <c r="G42" s="136"/>
      <c r="H42" s="160"/>
      <c r="I42" s="160"/>
    </row>
    <row r="43" spans="1:10" s="102" customFormat="1" x14ac:dyDescent="0.25">
      <c r="D43" s="201"/>
      <c r="F43" s="202"/>
    </row>
    <row r="44" spans="1:10" s="102" customFormat="1" x14ac:dyDescent="0.25">
      <c r="A44" s="102" t="s">
        <v>878</v>
      </c>
      <c r="F44" s="202"/>
    </row>
    <row r="45" spans="1:10" s="102" customFormat="1" x14ac:dyDescent="0.25">
      <c r="A45" s="1113" t="s">
        <v>877</v>
      </c>
      <c r="D45" s="102" t="s">
        <v>879</v>
      </c>
    </row>
    <row r="47" spans="1:10" x14ac:dyDescent="0.25">
      <c r="F47" s="202"/>
    </row>
    <row r="48" spans="1:10" ht="15.75" x14ac:dyDescent="0.25">
      <c r="C48" s="131" t="s">
        <v>477</v>
      </c>
      <c r="F48" s="202"/>
    </row>
    <row r="51" spans="6:6" x14ac:dyDescent="0.25">
      <c r="F51" s="202"/>
    </row>
    <row r="52" spans="6:6" x14ac:dyDescent="0.25">
      <c r="F52" s="202"/>
    </row>
    <row r="67" spans="1:1" x14ac:dyDescent="0.25">
      <c r="A67" s="876" t="s">
        <v>677</v>
      </c>
    </row>
  </sheetData>
  <hyperlinks>
    <hyperlink ref="A45" r:id="rId1"/>
  </hyperlinks>
  <pageMargins left="0.7" right="0.7" top="0.75" bottom="0.75" header="0.3" footer="0.3"/>
  <pageSetup paperSize="9" orientation="portrait" horizontalDpi="4294967293" verticalDpi="4294967293"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zoomScale="90" zoomScaleNormal="90" workbookViewId="0">
      <selection activeCell="J24" sqref="J24"/>
    </sheetView>
  </sheetViews>
  <sheetFormatPr defaultColWidth="8.7109375" defaultRowHeight="15" x14ac:dyDescent="0.25"/>
  <cols>
    <col min="1" max="1" width="71.5703125" style="1232" customWidth="1"/>
    <col min="2" max="16384" width="8.7109375" style="1231"/>
  </cols>
  <sheetData>
    <row r="1" spans="1:6" ht="21" x14ac:dyDescent="0.35">
      <c r="A1" s="1229" t="s">
        <v>344</v>
      </c>
      <c r="B1" s="1230"/>
      <c r="C1" s="1230"/>
      <c r="D1" s="1230"/>
      <c r="E1" s="1230"/>
      <c r="F1" s="1230"/>
    </row>
    <row r="3" spans="1:6" ht="59.1" customHeight="1" x14ac:dyDescent="0.25">
      <c r="A3" s="1802" t="s">
        <v>1054</v>
      </c>
      <c r="B3" s="1802"/>
      <c r="C3" s="1802"/>
    </row>
    <row r="4" spans="1:6" ht="52.5" customHeight="1" x14ac:dyDescent="0.25">
      <c r="A4" s="1801" t="s">
        <v>195</v>
      </c>
      <c r="B4" s="1801"/>
      <c r="C4" s="1801"/>
    </row>
    <row r="5" spans="1:6" ht="31.5" customHeight="1" x14ac:dyDescent="0.25">
      <c r="A5" s="875" t="s">
        <v>1058</v>
      </c>
      <c r="B5" s="1243"/>
      <c r="C5" s="1243"/>
    </row>
    <row r="6" spans="1:6" x14ac:dyDescent="0.25">
      <c r="B6" s="1233" t="s">
        <v>359</v>
      </c>
      <c r="C6" s="1233" t="s">
        <v>26</v>
      </c>
    </row>
    <row r="7" spans="1:6" ht="45" x14ac:dyDescent="0.25">
      <c r="A7" s="1234" t="s">
        <v>5</v>
      </c>
      <c r="B7" s="1235">
        <v>90</v>
      </c>
      <c r="C7" s="1236" t="s">
        <v>18</v>
      </c>
    </row>
    <row r="8" spans="1:6" ht="60" x14ac:dyDescent="0.25">
      <c r="A8" s="1234" t="s">
        <v>532</v>
      </c>
      <c r="B8" s="1235">
        <v>47</v>
      </c>
      <c r="C8" s="1236" t="s">
        <v>18</v>
      </c>
    </row>
    <row r="9" spans="1:6" x14ac:dyDescent="0.25">
      <c r="A9" s="1234" t="s">
        <v>7</v>
      </c>
      <c r="B9" s="1235">
        <v>9</v>
      </c>
      <c r="C9" s="1236" t="s">
        <v>18</v>
      </c>
    </row>
    <row r="10" spans="1:6" ht="30" x14ac:dyDescent="0.25">
      <c r="A10" s="1237" t="s">
        <v>1050</v>
      </c>
      <c r="B10" s="1238">
        <v>60</v>
      </c>
      <c r="C10" s="1239" t="s">
        <v>21</v>
      </c>
    </row>
    <row r="11" spans="1:6" x14ac:dyDescent="0.25">
      <c r="B11" s="1240">
        <f>SUM(B7:B10)</f>
        <v>206</v>
      </c>
    </row>
    <row r="12" spans="1:6" x14ac:dyDescent="0.25">
      <c r="B12" s="1241"/>
    </row>
    <row r="13" spans="1:6" ht="30" x14ac:dyDescent="0.25">
      <c r="A13" s="1243" t="s">
        <v>1051</v>
      </c>
    </row>
    <row r="14" spans="1:6" ht="45.95" customHeight="1" x14ac:dyDescent="0.25">
      <c r="A14" s="1243" t="str">
        <f>+Uitgangspunten!A55</f>
        <v>- Innovatiestimulering - ten gevolge van het EnergieAkkoord 2013 - 2020</v>
      </c>
      <c r="B14" s="1244">
        <f>+Uitgangspunten!B55</f>
        <v>100</v>
      </c>
      <c r="C14" s="1245" t="str">
        <f>+Uitgangspunten!C54</f>
        <v>mln per jaar</v>
      </c>
    </row>
  </sheetData>
  <mergeCells count="2">
    <mergeCell ref="A4:C4"/>
    <mergeCell ref="A3:C3"/>
  </mergeCells>
  <pageMargins left="0.7" right="0.7" top="0.75" bottom="0.75" header="0.3" footer="0.3"/>
  <pageSetup paperSize="9" orientation="portrait" horizontalDpi="4294967293" verticalDpi="4294967293"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41"/>
  <sheetViews>
    <sheetView zoomScale="90" zoomScaleNormal="90" workbookViewId="0">
      <selection activeCell="H143" sqref="H143"/>
    </sheetView>
  </sheetViews>
  <sheetFormatPr defaultRowHeight="15" x14ac:dyDescent="0.25"/>
  <cols>
    <col min="1" max="1" width="69.140625" customWidth="1"/>
    <col min="2" max="2" width="23.5703125" customWidth="1"/>
    <col min="3" max="3" width="16.42578125" customWidth="1"/>
  </cols>
  <sheetData>
    <row r="1" spans="1:13" x14ac:dyDescent="0.25">
      <c r="A1" s="1" t="s">
        <v>792</v>
      </c>
    </row>
    <row r="2" spans="1:13" x14ac:dyDescent="0.25">
      <c r="A2" t="s">
        <v>736</v>
      </c>
      <c r="B2" s="986">
        <v>4000</v>
      </c>
      <c r="C2" t="s">
        <v>746</v>
      </c>
    </row>
    <row r="3" spans="1:13" x14ac:dyDescent="0.25">
      <c r="A3" t="s">
        <v>760</v>
      </c>
      <c r="B3" s="983">
        <v>7000</v>
      </c>
      <c r="C3" t="s">
        <v>618</v>
      </c>
    </row>
    <row r="4" spans="1:13" x14ac:dyDescent="0.25">
      <c r="A4" t="s">
        <v>788</v>
      </c>
      <c r="B4" s="15">
        <f>+B2*B3*1000/B28*B32</f>
        <v>55863414634.146347</v>
      </c>
      <c r="C4" t="s">
        <v>170</v>
      </c>
      <c r="D4" s="995" t="s">
        <v>752</v>
      </c>
      <c r="E4" s="996"/>
      <c r="F4" s="996"/>
      <c r="G4" s="996"/>
      <c r="H4" s="996"/>
      <c r="I4" s="996"/>
      <c r="J4" s="996"/>
      <c r="K4" s="996"/>
      <c r="L4" s="997"/>
    </row>
    <row r="5" spans="1:13" x14ac:dyDescent="0.25">
      <c r="A5" t="s">
        <v>750</v>
      </c>
      <c r="B5" s="1003">
        <f>+B4*3.6/10^9</f>
        <v>201.10829268292684</v>
      </c>
      <c r="C5" t="s">
        <v>786</v>
      </c>
      <c r="D5" s="998" t="s">
        <v>754</v>
      </c>
      <c r="E5" s="8"/>
      <c r="F5" s="8"/>
      <c r="G5" s="8"/>
      <c r="H5" s="8"/>
      <c r="I5" s="8"/>
      <c r="J5" s="8"/>
      <c r="K5" s="8"/>
      <c r="L5" s="999"/>
    </row>
    <row r="6" spans="1:13" x14ac:dyDescent="0.25">
      <c r="A6" t="s">
        <v>789</v>
      </c>
      <c r="B6" s="15">
        <f>+B4/B32</f>
        <v>68292682926.829269</v>
      </c>
      <c r="C6" t="s">
        <v>170</v>
      </c>
      <c r="D6" s="1000" t="s">
        <v>753</v>
      </c>
      <c r="E6" s="8"/>
      <c r="F6" s="8"/>
      <c r="G6" s="8"/>
      <c r="H6" s="8"/>
      <c r="I6" s="8"/>
      <c r="J6" s="8"/>
      <c r="K6" s="8"/>
      <c r="L6" s="999"/>
    </row>
    <row r="7" spans="1:13" x14ac:dyDescent="0.25">
      <c r="A7" t="s">
        <v>789</v>
      </c>
      <c r="B7" s="1003">
        <f>+B6*3.6/10^9</f>
        <v>245.85365853658539</v>
      </c>
      <c r="C7" t="s">
        <v>786</v>
      </c>
      <c r="D7" s="1001" t="s">
        <v>755</v>
      </c>
      <c r="E7" s="404"/>
      <c r="F7" s="404"/>
      <c r="G7" s="404"/>
      <c r="H7" s="404"/>
      <c r="I7" s="404"/>
      <c r="J7" s="404"/>
      <c r="K7" s="404"/>
      <c r="L7" s="1002"/>
    </row>
    <row r="9" spans="1:13" x14ac:dyDescent="0.25">
      <c r="A9" t="s">
        <v>749</v>
      </c>
      <c r="B9" s="984">
        <f>+B35*B7</f>
        <v>62.460814313255682</v>
      </c>
      <c r="C9" t="s">
        <v>786</v>
      </c>
    </row>
    <row r="10" spans="1:13" x14ac:dyDescent="0.25">
      <c r="A10" s="173" t="s">
        <v>822</v>
      </c>
      <c r="B10" s="1081">
        <v>0.01</v>
      </c>
      <c r="C10" s="141" t="s">
        <v>834</v>
      </c>
      <c r="D10" s="65" t="s">
        <v>821</v>
      </c>
      <c r="E10" s="65"/>
      <c r="F10" s="65"/>
      <c r="G10" s="65"/>
      <c r="H10" s="65"/>
      <c r="I10" s="65"/>
      <c r="J10" s="65"/>
      <c r="K10" s="65"/>
      <c r="L10" s="65"/>
      <c r="M10" s="65"/>
    </row>
    <row r="11" spans="1:13" x14ac:dyDescent="0.25">
      <c r="A11" s="1082" t="s">
        <v>787</v>
      </c>
      <c r="B11" s="1083">
        <f>+B2*B3*1000*B10/10^6</f>
        <v>280</v>
      </c>
      <c r="C11" s="203" t="s">
        <v>835</v>
      </c>
      <c r="D11" s="65"/>
      <c r="E11" s="65"/>
      <c r="F11" s="65"/>
      <c r="G11" s="65"/>
      <c r="H11" s="65"/>
      <c r="I11" s="65"/>
      <c r="J11" s="65"/>
      <c r="K11" s="65"/>
      <c r="L11" s="65"/>
      <c r="M11" s="65"/>
    </row>
    <row r="12" spans="1:13" x14ac:dyDescent="0.25">
      <c r="A12" s="65" t="s">
        <v>791</v>
      </c>
      <c r="B12" s="1084">
        <f>+B37*B9/10^6</f>
        <v>3.522026073842051</v>
      </c>
      <c r="C12" s="65" t="s">
        <v>823</v>
      </c>
      <c r="D12" s="65"/>
      <c r="E12" s="65"/>
      <c r="F12" s="65"/>
      <c r="G12" s="65"/>
      <c r="H12" s="65"/>
      <c r="I12" s="65"/>
      <c r="J12" s="65"/>
      <c r="K12" s="65"/>
      <c r="L12" s="65"/>
      <c r="M12" s="65"/>
    </row>
    <row r="13" spans="1:13" x14ac:dyDescent="0.25">
      <c r="A13" s="65" t="s">
        <v>791</v>
      </c>
      <c r="B13" s="1085">
        <f>+B12/Energiebesparing!B14</f>
        <v>1.5864982314603832E-2</v>
      </c>
      <c r="C13" s="65" t="s">
        <v>824</v>
      </c>
      <c r="D13" s="65"/>
      <c r="E13" s="65"/>
      <c r="F13" s="65"/>
      <c r="G13" s="65"/>
      <c r="H13" s="65"/>
      <c r="I13" s="65"/>
      <c r="J13" s="65"/>
      <c r="K13" s="65"/>
      <c r="L13" s="65"/>
      <c r="M13" s="65"/>
    </row>
    <row r="14" spans="1:13" x14ac:dyDescent="0.25">
      <c r="A14" s="1082" t="s">
        <v>820</v>
      </c>
      <c r="B14" s="1031">
        <f>+B11/B12</f>
        <v>79.499695382594965</v>
      </c>
      <c r="C14" s="987" t="s">
        <v>785</v>
      </c>
    </row>
    <row r="15" spans="1:13" x14ac:dyDescent="0.25">
      <c r="A15" s="1033" t="s">
        <v>798</v>
      </c>
    </row>
    <row r="18" spans="1:5" x14ac:dyDescent="0.25">
      <c r="A18" s="1" t="s">
        <v>756</v>
      </c>
    </row>
    <row r="19" spans="1:5" x14ac:dyDescent="0.25">
      <c r="A19" t="s">
        <v>761</v>
      </c>
      <c r="B19" s="983">
        <v>2000</v>
      </c>
      <c r="C19" t="s">
        <v>739</v>
      </c>
      <c r="D19" s="627">
        <f>+B19/3.6</f>
        <v>555.55555555555554</v>
      </c>
      <c r="E19" t="s">
        <v>738</v>
      </c>
    </row>
    <row r="20" spans="1:5" x14ac:dyDescent="0.25">
      <c r="A20" t="s">
        <v>762</v>
      </c>
      <c r="B20" s="780">
        <f>+(B31/B28)*B19</f>
        <v>1990.2439024390246</v>
      </c>
      <c r="C20" t="s">
        <v>737</v>
      </c>
      <c r="D20" s="627">
        <f>+B20/3.6</f>
        <v>552.84552845528458</v>
      </c>
      <c r="E20" t="s">
        <v>738</v>
      </c>
    </row>
    <row r="21" spans="1:5" x14ac:dyDescent="0.25">
      <c r="B21" s="780"/>
      <c r="D21" s="627"/>
    </row>
    <row r="22" spans="1:5" x14ac:dyDescent="0.25">
      <c r="A22" t="s">
        <v>765</v>
      </c>
      <c r="B22" s="627">
        <f>+B20/95%</f>
        <v>2094.9935815147628</v>
      </c>
      <c r="C22" t="s">
        <v>737</v>
      </c>
    </row>
    <row r="23" spans="1:5" x14ac:dyDescent="0.25">
      <c r="A23" t="s">
        <v>757</v>
      </c>
      <c r="B23" s="982">
        <v>0.45</v>
      </c>
      <c r="D23" t="s">
        <v>745</v>
      </c>
    </row>
    <row r="24" spans="1:5" x14ac:dyDescent="0.25">
      <c r="A24" t="s">
        <v>747</v>
      </c>
      <c r="B24" s="981">
        <f>+B19/B23</f>
        <v>4444.4444444444443</v>
      </c>
      <c r="C24" t="s">
        <v>737</v>
      </c>
    </row>
    <row r="25" spans="1:5" x14ac:dyDescent="0.25">
      <c r="A25" t="s">
        <v>744</v>
      </c>
      <c r="B25" s="627">
        <f>+B24+B22</f>
        <v>6539.4380259592072</v>
      </c>
      <c r="C25" t="s">
        <v>737</v>
      </c>
    </row>
    <row r="26" spans="1:5" x14ac:dyDescent="0.25">
      <c r="B26" s="627"/>
    </row>
    <row r="27" spans="1:5" x14ac:dyDescent="0.25">
      <c r="A27" s="1" t="s">
        <v>740</v>
      </c>
    </row>
    <row r="28" spans="1:5" x14ac:dyDescent="0.25">
      <c r="A28" t="s">
        <v>742</v>
      </c>
      <c r="B28" s="893">
        <v>0.41</v>
      </c>
    </row>
    <row r="29" spans="1:5" x14ac:dyDescent="0.25">
      <c r="A29" t="s">
        <v>741</v>
      </c>
      <c r="B29" s="893">
        <v>0.51</v>
      </c>
    </row>
    <row r="30" spans="1:5" x14ac:dyDescent="0.25">
      <c r="A30" t="s">
        <v>743</v>
      </c>
      <c r="B30" s="982">
        <v>0.8</v>
      </c>
    </row>
    <row r="31" spans="1:5" x14ac:dyDescent="0.25">
      <c r="A31" t="s">
        <v>758</v>
      </c>
      <c r="B31" s="985">
        <f>+B29*B30</f>
        <v>0.40800000000000003</v>
      </c>
    </row>
    <row r="32" spans="1:5" x14ac:dyDescent="0.25">
      <c r="A32" t="s">
        <v>759</v>
      </c>
      <c r="B32" s="985">
        <f>+B28+B31</f>
        <v>0.81800000000000006</v>
      </c>
    </row>
    <row r="33" spans="1:3" x14ac:dyDescent="0.25">
      <c r="A33" t="s">
        <v>748</v>
      </c>
      <c r="B33" s="627">
        <f>+B20/B32+B19/B32</f>
        <v>4878.0487804878048</v>
      </c>
      <c r="C33" t="s">
        <v>737</v>
      </c>
    </row>
    <row r="35" spans="1:3" x14ac:dyDescent="0.25">
      <c r="A35" t="s">
        <v>751</v>
      </c>
      <c r="B35" s="994">
        <f>+(B25-B33)/B25</f>
        <v>0.25405688361542489</v>
      </c>
      <c r="C35" s="1"/>
    </row>
    <row r="36" spans="1:3" x14ac:dyDescent="0.25">
      <c r="A36" t="s">
        <v>783</v>
      </c>
      <c r="B36" s="993">
        <f>+Uitgangspunten!B72</f>
        <v>202.99597443993832</v>
      </c>
      <c r="C36" t="s">
        <v>784</v>
      </c>
    </row>
    <row r="37" spans="1:3" x14ac:dyDescent="0.25">
      <c r="B37" s="15">
        <f>B36/0.0036</f>
        <v>56387.770677760644</v>
      </c>
      <c r="C37" t="s">
        <v>790</v>
      </c>
    </row>
    <row r="38" spans="1:3" x14ac:dyDescent="0.25">
      <c r="B38" s="15"/>
    </row>
    <row r="71" spans="1:22" x14ac:dyDescent="0.25">
      <c r="B71" t="s">
        <v>1257</v>
      </c>
    </row>
    <row r="72" spans="1:22" x14ac:dyDescent="0.25">
      <c r="A72" s="1641"/>
      <c r="B72" s="1641"/>
      <c r="C72" s="1642"/>
      <c r="D72" s="1642"/>
      <c r="E72" s="1642"/>
      <c r="F72" s="1642"/>
      <c r="G72" s="1642"/>
      <c r="H72" s="1642"/>
      <c r="I72" s="1642"/>
      <c r="J72" s="1642"/>
      <c r="K72" s="1642"/>
      <c r="L72" s="1642"/>
      <c r="M72" s="1642"/>
      <c r="N72" s="1642"/>
      <c r="O72" s="1642"/>
      <c r="P72" s="1642"/>
      <c r="Q72" s="1642"/>
      <c r="R72" s="1642"/>
      <c r="S72" s="1642"/>
      <c r="T72" s="1642"/>
      <c r="U72" s="1642"/>
      <c r="V72" s="1642"/>
    </row>
    <row r="73" spans="1:22" x14ac:dyDescent="0.25">
      <c r="A73" s="1643">
        <v>1998</v>
      </c>
      <c r="B73" s="1643">
        <v>174631</v>
      </c>
      <c r="C73" s="1642"/>
      <c r="D73" s="1642"/>
      <c r="E73" s="1642"/>
      <c r="F73" s="1642"/>
      <c r="G73" s="1642"/>
      <c r="H73" s="1642"/>
      <c r="I73" s="1642"/>
      <c r="J73" s="1642"/>
      <c r="K73" s="1642"/>
      <c r="L73" s="1642"/>
      <c r="M73" s="1642"/>
      <c r="N73" s="1642"/>
      <c r="O73" s="1642"/>
      <c r="P73" s="1642"/>
      <c r="Q73" s="1642"/>
      <c r="R73" s="1642"/>
      <c r="S73" s="1642"/>
      <c r="T73" s="1642"/>
      <c r="U73" s="1642"/>
      <c r="V73" s="1642"/>
    </row>
    <row r="74" spans="1:22" x14ac:dyDescent="0.25">
      <c r="A74" s="1643">
        <v>1999</v>
      </c>
      <c r="B74" s="1643">
        <v>164879</v>
      </c>
      <c r="C74" s="1642"/>
      <c r="D74" s="1642"/>
      <c r="E74" s="1642"/>
      <c r="F74" s="1642"/>
      <c r="G74" s="1642"/>
      <c r="H74" s="1642"/>
      <c r="I74" s="1642"/>
      <c r="J74" s="1642"/>
      <c r="K74" s="1642"/>
      <c r="L74" s="1642"/>
      <c r="M74" s="1642"/>
      <c r="N74" s="1642"/>
      <c r="O74" s="1642"/>
      <c r="P74" s="1642"/>
      <c r="Q74" s="1642"/>
      <c r="R74" s="1642"/>
      <c r="S74" s="1642"/>
      <c r="T74" s="1642"/>
      <c r="U74" s="1642"/>
      <c r="V74" s="1642"/>
    </row>
    <row r="75" spans="1:22" x14ac:dyDescent="0.25">
      <c r="A75" s="1643">
        <v>2000</v>
      </c>
      <c r="B75" s="1643">
        <v>171704</v>
      </c>
      <c r="C75" s="1642"/>
      <c r="D75" s="1642"/>
      <c r="E75" s="1642"/>
      <c r="F75" s="1642"/>
      <c r="G75" s="1642"/>
      <c r="H75" s="1642"/>
      <c r="I75" s="1642"/>
      <c r="J75" s="1642"/>
      <c r="K75" s="1642"/>
      <c r="L75" s="1642"/>
      <c r="M75" s="1642"/>
      <c r="N75" s="1642"/>
      <c r="O75" s="1642"/>
      <c r="P75" s="1642"/>
      <c r="Q75" s="1642"/>
      <c r="R75" s="1642"/>
      <c r="S75" s="1642"/>
      <c r="T75" s="1642"/>
      <c r="U75" s="1642"/>
      <c r="V75" s="1642"/>
    </row>
    <row r="76" spans="1:22" x14ac:dyDescent="0.25">
      <c r="A76" s="1643">
        <v>2001</v>
      </c>
      <c r="B76" s="1643">
        <v>181671</v>
      </c>
      <c r="C76" s="1642"/>
      <c r="D76" s="1642"/>
      <c r="E76" s="1642"/>
      <c r="F76" s="1642"/>
      <c r="G76" s="1642"/>
      <c r="H76" s="1642"/>
      <c r="I76" s="1642"/>
      <c r="J76" s="1642"/>
      <c r="K76" s="1642"/>
      <c r="L76" s="1642"/>
      <c r="M76" s="1642"/>
      <c r="N76" s="1642"/>
      <c r="O76" s="1642"/>
      <c r="P76" s="1642"/>
      <c r="Q76" s="1642"/>
      <c r="R76" s="1642"/>
      <c r="S76" s="1642"/>
      <c r="T76" s="1642"/>
      <c r="U76" s="1642"/>
      <c r="V76" s="1642"/>
    </row>
    <row r="77" spans="1:22" x14ac:dyDescent="0.25">
      <c r="A77" s="1643">
        <v>2002</v>
      </c>
      <c r="B77" s="1643">
        <v>179106</v>
      </c>
      <c r="C77" s="1642"/>
      <c r="D77" s="1642"/>
      <c r="E77" s="1642"/>
      <c r="F77" s="1642"/>
      <c r="G77" s="1642"/>
      <c r="H77" s="1642"/>
      <c r="I77" s="1642"/>
      <c r="J77" s="1642"/>
      <c r="K77" s="1642"/>
      <c r="L77" s="1642"/>
      <c r="M77" s="1642"/>
      <c r="N77" s="1642"/>
      <c r="O77" s="1642"/>
      <c r="P77" s="1642"/>
      <c r="Q77" s="1642"/>
      <c r="R77" s="1642"/>
      <c r="S77" s="1642"/>
      <c r="T77" s="1642"/>
      <c r="U77" s="1642"/>
      <c r="V77" s="1642"/>
    </row>
    <row r="78" spans="1:22" x14ac:dyDescent="0.25">
      <c r="A78" s="1643">
        <v>2003</v>
      </c>
      <c r="B78" s="1643">
        <v>177287</v>
      </c>
      <c r="C78" s="1642"/>
      <c r="D78" s="1642"/>
      <c r="E78" s="1642"/>
      <c r="F78" s="1642"/>
      <c r="G78" s="1642"/>
      <c r="H78" s="1642"/>
      <c r="I78" s="1642"/>
      <c r="J78" s="1642"/>
      <c r="K78" s="1642"/>
      <c r="L78" s="1642"/>
      <c r="M78" s="1642"/>
      <c r="N78" s="1642"/>
      <c r="O78" s="1642"/>
      <c r="P78" s="1642"/>
      <c r="Q78" s="1642"/>
      <c r="R78" s="1642"/>
      <c r="S78" s="1642"/>
      <c r="T78" s="1642"/>
      <c r="U78" s="1642"/>
      <c r="V78" s="1642"/>
    </row>
    <row r="79" spans="1:22" x14ac:dyDescent="0.25">
      <c r="A79" s="1643">
        <v>2004</v>
      </c>
      <c r="B79" s="1643">
        <v>194190</v>
      </c>
      <c r="C79" s="1642"/>
      <c r="D79" s="1642"/>
      <c r="E79" s="1642"/>
      <c r="F79" s="1642"/>
      <c r="G79" s="1642"/>
      <c r="H79" s="1642"/>
      <c r="I79" s="1642"/>
      <c r="J79" s="1642"/>
      <c r="K79" s="1642"/>
      <c r="L79" s="1642"/>
      <c r="M79" s="1642"/>
      <c r="N79" s="1642"/>
      <c r="O79" s="1642"/>
      <c r="P79" s="1642"/>
      <c r="Q79" s="1642"/>
      <c r="R79" s="1642"/>
      <c r="S79" s="1642"/>
      <c r="T79" s="1642"/>
      <c r="U79" s="1642"/>
      <c r="V79" s="1642"/>
    </row>
    <row r="80" spans="1:22" x14ac:dyDescent="0.25">
      <c r="A80" s="1643">
        <v>2005</v>
      </c>
      <c r="B80" s="1643">
        <v>200208</v>
      </c>
      <c r="C80" s="1642"/>
      <c r="D80" s="1642"/>
      <c r="E80" s="1642"/>
      <c r="F80" s="1642"/>
      <c r="G80" s="1642"/>
      <c r="H80" s="1642"/>
      <c r="I80" s="1642"/>
      <c r="J80" s="1642"/>
      <c r="K80" s="1642"/>
      <c r="L80" s="1642"/>
      <c r="M80" s="1642"/>
      <c r="N80" s="1642"/>
      <c r="O80" s="1642"/>
      <c r="P80" s="1642"/>
      <c r="Q80" s="1642"/>
      <c r="R80" s="1642"/>
      <c r="S80" s="1642"/>
      <c r="T80" s="1642"/>
      <c r="U80" s="1642"/>
      <c r="V80" s="1642"/>
    </row>
    <row r="81" spans="1:22" x14ac:dyDescent="0.25">
      <c r="A81" s="1643">
        <v>2006</v>
      </c>
      <c r="B81" s="1643">
        <v>200700</v>
      </c>
      <c r="C81" s="1642"/>
      <c r="D81" s="1642"/>
      <c r="E81" s="1642"/>
      <c r="F81" s="1642"/>
      <c r="G81" s="1642"/>
      <c r="H81" s="1642"/>
      <c r="I81" s="1642"/>
      <c r="J81" s="1642"/>
      <c r="K81" s="1642"/>
      <c r="L81" s="1642"/>
      <c r="M81" s="1642"/>
      <c r="N81" s="1642"/>
      <c r="O81" s="1642"/>
      <c r="P81" s="1642"/>
      <c r="Q81" s="1642"/>
      <c r="R81" s="1642"/>
      <c r="S81" s="1642"/>
      <c r="T81" s="1642"/>
      <c r="U81" s="1642"/>
      <c r="V81" s="1642"/>
    </row>
    <row r="82" spans="1:22" x14ac:dyDescent="0.25">
      <c r="A82" s="1643">
        <v>2007</v>
      </c>
      <c r="B82" s="1643">
        <v>209903</v>
      </c>
      <c r="C82" s="1642"/>
      <c r="D82" s="1642"/>
      <c r="E82" s="1642"/>
      <c r="F82" s="1642"/>
      <c r="G82" s="1642"/>
      <c r="H82" s="1642"/>
      <c r="I82" s="1642"/>
      <c r="J82" s="1642"/>
      <c r="K82" s="1642"/>
      <c r="L82" s="1642"/>
      <c r="M82" s="1642"/>
      <c r="N82" s="1642"/>
      <c r="O82" s="1642"/>
      <c r="P82" s="1642"/>
      <c r="Q82" s="1642"/>
      <c r="R82" s="1642"/>
      <c r="S82" s="1642"/>
      <c r="T82" s="1642"/>
      <c r="U82" s="1642"/>
      <c r="V82" s="1642"/>
    </row>
    <row r="83" spans="1:22" x14ac:dyDescent="0.25">
      <c r="A83" s="1643">
        <v>2008</v>
      </c>
      <c r="B83" s="1643">
        <v>221017</v>
      </c>
      <c r="C83" s="1642"/>
      <c r="D83" s="1642"/>
      <c r="E83" s="1642"/>
      <c r="F83" s="1642"/>
      <c r="G83" s="1642"/>
      <c r="H83" s="1642"/>
      <c r="I83" s="1642"/>
      <c r="J83" s="1642"/>
      <c r="K83" s="1642"/>
      <c r="L83" s="1642"/>
      <c r="M83" s="1642"/>
      <c r="N83" s="1642"/>
      <c r="O83" s="1642"/>
      <c r="P83" s="1642"/>
      <c r="Q83" s="1642"/>
      <c r="R83" s="1642"/>
      <c r="S83" s="1642"/>
      <c r="T83" s="1642"/>
      <c r="U83" s="1642"/>
      <c r="V83" s="1642"/>
    </row>
    <row r="84" spans="1:22" x14ac:dyDescent="0.25">
      <c r="A84" s="1643">
        <v>2009</v>
      </c>
      <c r="B84" s="1643">
        <v>228311</v>
      </c>
      <c r="C84" s="1642"/>
      <c r="D84" s="1642"/>
      <c r="E84" s="1642"/>
      <c r="F84" s="1642"/>
      <c r="G84" s="1642"/>
      <c r="H84" s="1642"/>
      <c r="I84" s="1642"/>
      <c r="J84" s="1642"/>
      <c r="K84" s="1642"/>
      <c r="L84" s="1642"/>
      <c r="M84" s="1642"/>
      <c r="N84" s="1642"/>
      <c r="O84" s="1642"/>
      <c r="P84" s="1642"/>
      <c r="Q84" s="1642"/>
      <c r="R84" s="1642"/>
      <c r="S84" s="1642"/>
      <c r="T84" s="1642"/>
      <c r="U84" s="1642"/>
      <c r="V84" s="1642"/>
    </row>
    <row r="85" spans="1:22" x14ac:dyDescent="0.25">
      <c r="A85" s="1643">
        <v>2010</v>
      </c>
      <c r="B85" s="1643">
        <v>222315</v>
      </c>
      <c r="C85" s="1642"/>
      <c r="D85" s="1642"/>
      <c r="E85" s="1642"/>
      <c r="F85" s="1642"/>
      <c r="G85" s="1642"/>
      <c r="H85" s="1642"/>
      <c r="I85" s="1642"/>
      <c r="J85" s="1642"/>
      <c r="K85" s="1642"/>
      <c r="L85" s="1642"/>
      <c r="M85" s="1642"/>
      <c r="N85" s="1642"/>
      <c r="O85" s="1642"/>
      <c r="P85" s="1642"/>
      <c r="Q85" s="1642"/>
      <c r="R85" s="1642"/>
      <c r="S85" s="1642"/>
      <c r="T85" s="1642"/>
      <c r="U85" s="1642"/>
      <c r="V85" s="1642"/>
    </row>
    <row r="86" spans="1:22" x14ac:dyDescent="0.25">
      <c r="A86" s="1643">
        <v>2011</v>
      </c>
      <c r="B86" s="1643">
        <v>210895</v>
      </c>
      <c r="C86" s="1642"/>
      <c r="D86" s="1642"/>
      <c r="E86" s="1642"/>
      <c r="F86" s="1642"/>
      <c r="G86" s="1642"/>
      <c r="H86" s="1642"/>
      <c r="I86" s="1642"/>
      <c r="J86" s="1642"/>
      <c r="K86" s="1642"/>
      <c r="L86" s="1642"/>
      <c r="M86" s="1642"/>
      <c r="N86" s="1642"/>
      <c r="O86" s="1642"/>
      <c r="P86" s="1642"/>
      <c r="Q86" s="1642"/>
      <c r="R86" s="1642"/>
      <c r="S86" s="1642"/>
      <c r="T86" s="1642"/>
      <c r="U86" s="1642"/>
      <c r="V86" s="1642"/>
    </row>
    <row r="87" spans="1:22" x14ac:dyDescent="0.25">
      <c r="A87" s="1643">
        <v>2012</v>
      </c>
      <c r="B87" s="1643">
        <v>191196</v>
      </c>
      <c r="C87" s="1642"/>
      <c r="D87" s="1642"/>
      <c r="E87" s="1642"/>
      <c r="F87" s="1642"/>
      <c r="G87" s="1642"/>
      <c r="H87" s="1642"/>
      <c r="I87" s="1642"/>
      <c r="J87" s="1642"/>
      <c r="K87" s="1642"/>
      <c r="L87" s="1642"/>
      <c r="M87" s="1642"/>
      <c r="N87" s="1642"/>
      <c r="O87" s="1642"/>
      <c r="P87" s="1642"/>
      <c r="Q87" s="1642"/>
      <c r="R87" s="1642"/>
      <c r="S87" s="1642"/>
      <c r="T87" s="1642"/>
      <c r="U87" s="1642"/>
      <c r="V87" s="1642"/>
    </row>
    <row r="88" spans="1:22" x14ac:dyDescent="0.25">
      <c r="A88" s="1643">
        <v>2013</v>
      </c>
      <c r="B88" s="1643">
        <v>180390</v>
      </c>
      <c r="C88" s="1642"/>
      <c r="D88" s="1642"/>
      <c r="E88" s="1642"/>
      <c r="F88" s="1642"/>
      <c r="G88" s="1642"/>
      <c r="H88" s="1642"/>
      <c r="I88" s="1642"/>
      <c r="J88" s="1642"/>
      <c r="K88" s="1642"/>
      <c r="L88" s="1642"/>
      <c r="M88" s="1642"/>
      <c r="N88" s="1642"/>
      <c r="O88" s="1642"/>
      <c r="P88" s="1642"/>
      <c r="Q88" s="1642"/>
      <c r="R88" s="1642"/>
      <c r="S88" s="1642"/>
      <c r="T88" s="1642"/>
      <c r="U88" s="1642"/>
      <c r="V88" s="1642"/>
    </row>
    <row r="89" spans="1:22" x14ac:dyDescent="0.25">
      <c r="A89" s="1643">
        <v>2014</v>
      </c>
      <c r="B89" s="1643">
        <v>171020</v>
      </c>
      <c r="C89" s="1642"/>
      <c r="D89" s="1642"/>
      <c r="E89" s="1642"/>
      <c r="F89" s="1642"/>
      <c r="G89" s="1642"/>
      <c r="H89" s="1642"/>
      <c r="I89" s="1642"/>
      <c r="J89" s="1642"/>
      <c r="K89" s="1642"/>
      <c r="L89" s="1642"/>
      <c r="M89" s="1642"/>
      <c r="N89" s="1642"/>
      <c r="O89" s="1642"/>
      <c r="P89" s="1642"/>
      <c r="Q89" s="1642"/>
      <c r="R89" s="1642"/>
      <c r="S89" s="1642"/>
      <c r="T89" s="1642"/>
      <c r="U89" s="1642"/>
      <c r="V89" s="1642"/>
    </row>
    <row r="90" spans="1:22" x14ac:dyDescent="0.25">
      <c r="A90" s="1643">
        <v>2015</v>
      </c>
      <c r="B90" s="1643">
        <v>158218</v>
      </c>
      <c r="C90" s="1642"/>
      <c r="D90" s="1642"/>
      <c r="E90" s="1642"/>
      <c r="F90" s="1642"/>
      <c r="G90" s="1642"/>
      <c r="H90" s="1642"/>
      <c r="I90" s="1642"/>
      <c r="J90" s="1642"/>
      <c r="K90" s="1642"/>
      <c r="L90" s="1642"/>
      <c r="M90" s="1642"/>
      <c r="N90" s="1642"/>
      <c r="O90" s="1642"/>
      <c r="P90" s="1642"/>
      <c r="Q90" s="1642"/>
      <c r="R90" s="1642"/>
      <c r="S90" s="1642"/>
      <c r="T90" s="1642"/>
      <c r="U90" s="1642"/>
      <c r="V90" s="1642"/>
    </row>
    <row r="91" spans="1:22" x14ac:dyDescent="0.25">
      <c r="A91" s="1643">
        <v>2016</v>
      </c>
      <c r="B91" s="1643">
        <v>152029</v>
      </c>
      <c r="C91" s="1642"/>
      <c r="D91" s="1642"/>
      <c r="E91" s="1642"/>
      <c r="F91" s="1642"/>
      <c r="G91" s="1642"/>
      <c r="H91" s="1642"/>
      <c r="I91" s="1642"/>
      <c r="J91" s="1642"/>
      <c r="K91" s="1642"/>
      <c r="L91" s="1642"/>
      <c r="M91" s="1642"/>
      <c r="N91" s="1642"/>
      <c r="O91" s="1642"/>
      <c r="P91" s="1642"/>
      <c r="Q91" s="1642"/>
      <c r="R91" s="1642"/>
      <c r="S91" s="1642"/>
      <c r="T91" s="1642"/>
      <c r="U91" s="1642"/>
      <c r="V91" s="1642"/>
    </row>
    <row r="92" spans="1:22" x14ac:dyDescent="0.25">
      <c r="A92" s="1641"/>
      <c r="B92" s="1641"/>
      <c r="C92" s="1642"/>
      <c r="D92" s="1642"/>
      <c r="E92" s="1642"/>
      <c r="F92" s="1642"/>
      <c r="G92" s="1642"/>
      <c r="H92" s="1642"/>
      <c r="I92" s="1642"/>
      <c r="J92" s="1642"/>
      <c r="K92" s="1642"/>
      <c r="L92" s="1642"/>
      <c r="M92" s="1642"/>
      <c r="N92" s="1642"/>
      <c r="O92" s="1642"/>
      <c r="P92" s="1642"/>
      <c r="Q92" s="1642"/>
      <c r="R92" s="1642"/>
      <c r="S92" s="1642"/>
      <c r="T92" s="1642"/>
      <c r="U92" s="1642"/>
      <c r="V92" s="1642"/>
    </row>
    <row r="93" spans="1:22" x14ac:dyDescent="0.25">
      <c r="A93" s="1641"/>
      <c r="B93" s="1641"/>
      <c r="C93" s="1642"/>
      <c r="D93" s="1642"/>
      <c r="E93" s="1642"/>
      <c r="F93" s="1642"/>
      <c r="G93" s="1642"/>
      <c r="H93" s="1642"/>
      <c r="I93" s="1642"/>
      <c r="J93" s="1642"/>
      <c r="K93" s="1642"/>
      <c r="L93" s="1642"/>
      <c r="M93" s="1642"/>
      <c r="N93" s="1642"/>
      <c r="O93" s="1642"/>
      <c r="P93" s="1642"/>
      <c r="Q93" s="1642"/>
      <c r="R93" s="1642"/>
      <c r="S93" s="1642"/>
      <c r="T93" s="1642"/>
      <c r="U93" s="1642"/>
      <c r="V93" s="1642"/>
    </row>
    <row r="94" spans="1:22" x14ac:dyDescent="0.25">
      <c r="A94" s="1641"/>
      <c r="B94" s="1641"/>
      <c r="C94" s="1642"/>
      <c r="D94" s="1642"/>
      <c r="E94" s="1642"/>
      <c r="F94" s="1642"/>
      <c r="G94" s="1642"/>
      <c r="H94" s="1642"/>
      <c r="I94" s="1642"/>
      <c r="J94" s="1642"/>
      <c r="K94" s="1642"/>
      <c r="L94" s="1642"/>
      <c r="M94" s="1642"/>
      <c r="N94" s="1642"/>
      <c r="O94" s="1642"/>
      <c r="P94" s="1642"/>
      <c r="Q94" s="1642"/>
      <c r="R94" s="1642"/>
      <c r="S94" s="1642"/>
      <c r="T94" s="1642"/>
      <c r="U94" s="1642"/>
      <c r="V94" s="1642"/>
    </row>
    <row r="95" spans="1:22" x14ac:dyDescent="0.25">
      <c r="A95" s="1641"/>
      <c r="B95" s="1641"/>
      <c r="C95" s="1642"/>
      <c r="D95" s="1642"/>
      <c r="E95" s="1642"/>
      <c r="F95" s="1642"/>
      <c r="G95" s="1642"/>
      <c r="H95" s="1642"/>
      <c r="I95" s="1642"/>
      <c r="J95" s="1642"/>
      <c r="K95" s="1642"/>
      <c r="L95" s="1642"/>
      <c r="M95" s="1642"/>
      <c r="N95" s="1642"/>
      <c r="O95" s="1642"/>
      <c r="P95" s="1642"/>
      <c r="Q95" s="1642"/>
      <c r="R95" s="1642"/>
      <c r="S95" s="1642"/>
      <c r="T95" s="1642"/>
      <c r="U95" s="1642"/>
      <c r="V95" s="1642"/>
    </row>
    <row r="96" spans="1:22" x14ac:dyDescent="0.25">
      <c r="A96" s="1641"/>
      <c r="B96" s="1641"/>
      <c r="C96" s="1642"/>
      <c r="D96" s="1642"/>
      <c r="E96" s="1642"/>
      <c r="F96" s="1642"/>
      <c r="G96" s="1642"/>
      <c r="H96" s="1642"/>
      <c r="I96" s="1642"/>
      <c r="J96" s="1642"/>
      <c r="K96" s="1642"/>
      <c r="L96" s="1642"/>
      <c r="M96" s="1642"/>
      <c r="N96" s="1642"/>
      <c r="O96" s="1642"/>
      <c r="P96" s="1642"/>
      <c r="Q96" s="1642"/>
      <c r="R96" s="1642"/>
      <c r="S96" s="1642"/>
      <c r="T96" s="1642"/>
      <c r="U96" s="1642"/>
      <c r="V96" s="1642"/>
    </row>
    <row r="97" spans="1:22" x14ac:dyDescent="0.25">
      <c r="A97" s="1641"/>
      <c r="B97" s="1641"/>
      <c r="C97" s="1642"/>
      <c r="D97" s="1642"/>
      <c r="E97" s="1642"/>
      <c r="F97" s="1642"/>
      <c r="G97" s="1642"/>
      <c r="H97" s="1642"/>
      <c r="I97" s="1642"/>
      <c r="J97" s="1642"/>
      <c r="K97" s="1642"/>
      <c r="L97" s="1642"/>
      <c r="M97" s="1642"/>
      <c r="N97" s="1642"/>
      <c r="O97" s="1642"/>
      <c r="P97" s="1642"/>
      <c r="Q97" s="1642"/>
      <c r="R97" s="1642"/>
      <c r="S97" s="1642"/>
      <c r="T97" s="1642"/>
      <c r="U97" s="1642"/>
      <c r="V97" s="1642"/>
    </row>
    <row r="98" spans="1:22" x14ac:dyDescent="0.25">
      <c r="A98" s="1641"/>
      <c r="B98" s="1641"/>
      <c r="C98" s="1642"/>
      <c r="D98" s="1642"/>
      <c r="E98" s="1642"/>
      <c r="F98" s="1642"/>
      <c r="G98" s="1642"/>
      <c r="H98" s="1642"/>
      <c r="I98" s="1642"/>
      <c r="J98" s="1642"/>
      <c r="K98" s="1642"/>
      <c r="L98" s="1642"/>
      <c r="M98" s="1642"/>
      <c r="N98" s="1642"/>
      <c r="O98" s="1642"/>
      <c r="P98" s="1642"/>
      <c r="Q98" s="1642"/>
      <c r="R98" s="1642"/>
      <c r="S98" s="1642"/>
      <c r="T98" s="1642"/>
      <c r="U98" s="1642"/>
      <c r="V98" s="1642"/>
    </row>
    <row r="99" spans="1:22" x14ac:dyDescent="0.25">
      <c r="A99" s="1641"/>
      <c r="B99" s="1641"/>
      <c r="C99" s="1642"/>
      <c r="D99" s="1642"/>
      <c r="E99" s="1642"/>
      <c r="F99" s="1642"/>
      <c r="G99" s="1642"/>
      <c r="H99" s="1642"/>
      <c r="I99" s="1642"/>
      <c r="J99" s="1642"/>
      <c r="K99" s="1642"/>
      <c r="L99" s="1642"/>
      <c r="M99" s="1642"/>
      <c r="N99" s="1642"/>
      <c r="O99" s="1642"/>
      <c r="P99" s="1642"/>
      <c r="Q99" s="1642"/>
      <c r="R99" s="1642"/>
      <c r="S99" s="1642"/>
      <c r="T99" s="1642"/>
      <c r="U99" s="1642"/>
      <c r="V99" s="1642"/>
    </row>
    <row r="100" spans="1:22" x14ac:dyDescent="0.25">
      <c r="A100" s="1641"/>
      <c r="B100" s="1641"/>
      <c r="C100" s="1642"/>
      <c r="D100" s="1642"/>
      <c r="E100" s="1642"/>
      <c r="F100" s="1642"/>
      <c r="G100" s="1642"/>
      <c r="H100" s="1642"/>
      <c r="I100" s="1642"/>
      <c r="J100" s="1642"/>
      <c r="K100" s="1642"/>
      <c r="L100" s="1642"/>
      <c r="M100" s="1642"/>
      <c r="N100" s="1642"/>
      <c r="O100" s="1642"/>
      <c r="P100" s="1642"/>
      <c r="Q100" s="1642"/>
      <c r="R100" s="1642"/>
      <c r="S100" s="1642"/>
      <c r="T100" s="1642"/>
      <c r="U100" s="1642"/>
      <c r="V100" s="1642"/>
    </row>
    <row r="101" spans="1:22" x14ac:dyDescent="0.25">
      <c r="A101" s="1641"/>
      <c r="B101" s="1641"/>
      <c r="C101" s="1642"/>
      <c r="D101" s="1642"/>
      <c r="E101" s="1642"/>
      <c r="F101" s="1642"/>
      <c r="G101" s="1642"/>
      <c r="H101" s="1642"/>
      <c r="I101" s="1642"/>
      <c r="J101" s="1642"/>
      <c r="K101" s="1642"/>
      <c r="L101" s="1642"/>
      <c r="M101" s="1642"/>
      <c r="N101" s="1642"/>
      <c r="O101" s="1642"/>
      <c r="P101" s="1642"/>
      <c r="Q101" s="1642"/>
      <c r="R101" s="1642"/>
      <c r="S101" s="1642"/>
      <c r="T101" s="1642"/>
      <c r="U101" s="1642"/>
      <c r="V101" s="1642"/>
    </row>
    <row r="102" spans="1:22" x14ac:dyDescent="0.25">
      <c r="A102" s="1641"/>
      <c r="B102" s="1641"/>
      <c r="C102" s="1642"/>
      <c r="D102" s="1642"/>
      <c r="E102" s="1642"/>
      <c r="F102" s="1642"/>
      <c r="G102" s="1642"/>
      <c r="H102" s="1642"/>
      <c r="I102" s="1642"/>
      <c r="J102" s="1642"/>
      <c r="K102" s="1642"/>
      <c r="L102" s="1642"/>
      <c r="M102" s="1642"/>
      <c r="N102" s="1642"/>
      <c r="O102" s="1642"/>
      <c r="P102" s="1642"/>
      <c r="Q102" s="1642"/>
      <c r="R102" s="1642"/>
      <c r="S102" s="1642"/>
      <c r="T102" s="1642"/>
      <c r="U102" s="1642"/>
      <c r="V102" s="1642"/>
    </row>
    <row r="103" spans="1:22" x14ac:dyDescent="0.25">
      <c r="A103" s="1641"/>
      <c r="B103" s="1641"/>
      <c r="C103" s="1642"/>
      <c r="D103" s="1642"/>
      <c r="E103" s="1642"/>
      <c r="F103" s="1642"/>
      <c r="G103" s="1642"/>
      <c r="H103" s="1642"/>
      <c r="I103" s="1642"/>
      <c r="J103" s="1642"/>
      <c r="K103" s="1642"/>
      <c r="L103" s="1642"/>
      <c r="M103" s="1642"/>
      <c r="N103" s="1642"/>
      <c r="O103" s="1642"/>
      <c r="P103" s="1642"/>
      <c r="Q103" s="1642"/>
      <c r="R103" s="1642"/>
      <c r="S103" s="1642"/>
      <c r="T103" s="1642"/>
      <c r="U103" s="1642"/>
      <c r="V103" s="1642"/>
    </row>
    <row r="104" spans="1:22" x14ac:dyDescent="0.25">
      <c r="A104" s="1641"/>
      <c r="B104" s="1641"/>
      <c r="C104" s="1642"/>
      <c r="D104" s="1642"/>
      <c r="E104" s="1642"/>
      <c r="F104" s="1642"/>
      <c r="G104" s="1642"/>
      <c r="H104" s="1642"/>
      <c r="I104" s="1642"/>
      <c r="J104" s="1642"/>
      <c r="K104" s="1642"/>
      <c r="L104" s="1642"/>
      <c r="M104" s="1642"/>
      <c r="N104" s="1642"/>
      <c r="O104" s="1642"/>
      <c r="P104" s="1642"/>
      <c r="Q104" s="1642"/>
      <c r="R104" s="1642"/>
      <c r="S104" s="1642"/>
      <c r="T104" s="1642"/>
      <c r="U104" s="1642"/>
      <c r="V104" s="1642"/>
    </row>
    <row r="105" spans="1:22" x14ac:dyDescent="0.25">
      <c r="A105" s="1641"/>
      <c r="B105" s="1641"/>
      <c r="C105" s="1642"/>
      <c r="D105" s="1642"/>
      <c r="E105" s="1642"/>
      <c r="F105" s="1642"/>
      <c r="G105" s="1642"/>
      <c r="H105" s="1642"/>
      <c r="I105" s="1642"/>
      <c r="J105" s="1642"/>
      <c r="K105" s="1642"/>
      <c r="L105" s="1642"/>
      <c r="M105" s="1642"/>
      <c r="N105" s="1642"/>
      <c r="O105" s="1642"/>
      <c r="P105" s="1642"/>
      <c r="Q105" s="1642"/>
      <c r="R105" s="1642"/>
      <c r="S105" s="1642"/>
      <c r="T105" s="1642"/>
      <c r="U105" s="1642"/>
      <c r="V105" s="1642"/>
    </row>
    <row r="106" spans="1:22" x14ac:dyDescent="0.25">
      <c r="A106" s="1641"/>
      <c r="B106" s="1641"/>
      <c r="C106" s="1642"/>
      <c r="D106" s="1642"/>
      <c r="E106" s="1642"/>
      <c r="F106" s="1642"/>
      <c r="G106" s="1642"/>
      <c r="H106" s="1642"/>
      <c r="I106" s="1642"/>
      <c r="J106" s="1642"/>
      <c r="K106" s="1642"/>
      <c r="L106" s="1642"/>
      <c r="M106" s="1642"/>
      <c r="N106" s="1642"/>
      <c r="O106" s="1642"/>
      <c r="P106" s="1642"/>
      <c r="Q106" s="1642"/>
      <c r="R106" s="1642"/>
      <c r="S106" s="1642"/>
      <c r="T106" s="1642"/>
      <c r="U106" s="1642"/>
      <c r="V106" s="1642"/>
    </row>
    <row r="107" spans="1:22" x14ac:dyDescent="0.25">
      <c r="A107" s="1641"/>
      <c r="B107" s="1641"/>
      <c r="C107" s="1642"/>
      <c r="D107" s="1642"/>
      <c r="E107" s="1642"/>
      <c r="F107" s="1642"/>
      <c r="G107" s="1642"/>
      <c r="H107" s="1642"/>
      <c r="I107" s="1642"/>
      <c r="J107" s="1642"/>
      <c r="K107" s="1642"/>
      <c r="L107" s="1642"/>
      <c r="M107" s="1642"/>
      <c r="N107" s="1642"/>
      <c r="O107" s="1642"/>
      <c r="P107" s="1642"/>
      <c r="Q107" s="1642"/>
      <c r="R107" s="1642"/>
      <c r="S107" s="1642"/>
      <c r="T107" s="1642"/>
      <c r="U107" s="1642"/>
      <c r="V107" s="1642"/>
    </row>
    <row r="108" spans="1:22" x14ac:dyDescent="0.25">
      <c r="A108" s="1641"/>
      <c r="B108" s="1641"/>
      <c r="C108" s="1642"/>
      <c r="D108" s="1642"/>
      <c r="E108" s="1642"/>
      <c r="F108" s="1642"/>
      <c r="G108" s="1642"/>
      <c r="H108" s="1642"/>
      <c r="I108" s="1642"/>
      <c r="J108" s="1642"/>
      <c r="K108" s="1642"/>
      <c r="L108" s="1642"/>
      <c r="M108" s="1642"/>
      <c r="N108" s="1642"/>
      <c r="O108" s="1642"/>
      <c r="P108" s="1642"/>
      <c r="Q108" s="1642"/>
      <c r="R108" s="1642"/>
      <c r="S108" s="1642"/>
      <c r="T108" s="1642"/>
      <c r="U108" s="1642"/>
      <c r="V108" s="1642"/>
    </row>
    <row r="109" spans="1:22" x14ac:dyDescent="0.25">
      <c r="A109" s="1641"/>
      <c r="B109" s="1641"/>
      <c r="C109" s="1642"/>
      <c r="D109" s="1642"/>
      <c r="E109" s="1642"/>
      <c r="F109" s="1642"/>
      <c r="G109" s="1642"/>
      <c r="H109" s="1642"/>
      <c r="I109" s="1642"/>
      <c r="J109" s="1642"/>
      <c r="K109" s="1642"/>
      <c r="L109" s="1642"/>
      <c r="M109" s="1642"/>
      <c r="N109" s="1642"/>
      <c r="O109" s="1642"/>
      <c r="P109" s="1642"/>
      <c r="Q109" s="1642"/>
      <c r="R109" s="1642"/>
      <c r="S109" s="1642"/>
      <c r="T109" s="1642"/>
      <c r="U109" s="1642"/>
      <c r="V109" s="1642"/>
    </row>
    <row r="110" spans="1:22" x14ac:dyDescent="0.25">
      <c r="A110" s="1641"/>
      <c r="B110" s="1641" t="s">
        <v>1258</v>
      </c>
      <c r="C110" s="1642"/>
      <c r="D110" s="1642"/>
      <c r="E110" s="1642"/>
      <c r="F110" s="1642"/>
      <c r="G110" s="1642"/>
      <c r="H110" s="1642"/>
      <c r="I110" s="1642"/>
      <c r="J110" s="1642"/>
      <c r="K110" s="1642"/>
      <c r="L110" s="1642"/>
      <c r="M110" s="1642"/>
      <c r="N110" s="1642"/>
      <c r="O110" s="1642"/>
      <c r="P110" s="1642"/>
      <c r="Q110" s="1642"/>
      <c r="R110" s="1642"/>
      <c r="S110" s="1642"/>
      <c r="T110" s="1642"/>
      <c r="U110" s="1642"/>
      <c r="V110" s="1642"/>
    </row>
    <row r="111" spans="1:22" x14ac:dyDescent="0.25">
      <c r="A111" s="1641"/>
      <c r="B111" s="1641"/>
      <c r="C111" s="1642"/>
      <c r="D111" s="1642"/>
      <c r="E111" s="1642"/>
      <c r="F111" s="1642"/>
      <c r="G111" s="1642"/>
      <c r="H111" s="1642"/>
      <c r="I111" s="1642"/>
      <c r="J111" s="1642"/>
      <c r="K111" s="1642"/>
      <c r="L111" s="1642"/>
      <c r="M111" s="1642"/>
      <c r="N111" s="1642"/>
      <c r="O111" s="1642"/>
      <c r="P111" s="1642"/>
      <c r="Q111" s="1642"/>
      <c r="R111" s="1642"/>
      <c r="S111" s="1642"/>
      <c r="T111" s="1642"/>
      <c r="U111" s="1642"/>
      <c r="V111" s="1642"/>
    </row>
    <row r="112" spans="1:22" x14ac:dyDescent="0.25">
      <c r="A112" s="1644" t="s">
        <v>1187</v>
      </c>
      <c r="B112" s="1641"/>
      <c r="C112" s="1642"/>
      <c r="D112" s="1642"/>
      <c r="E112" s="1642"/>
      <c r="F112" s="1642"/>
      <c r="G112" s="1642"/>
      <c r="H112" s="1642"/>
      <c r="I112" s="1642"/>
      <c r="J112" s="1642"/>
      <c r="K112" s="1642"/>
      <c r="L112" s="1642"/>
      <c r="M112" s="1642"/>
      <c r="N112" s="1642"/>
      <c r="O112" s="1642"/>
      <c r="P112" s="1642"/>
      <c r="Q112" s="1642"/>
      <c r="R112" s="1642"/>
      <c r="S112" s="1642"/>
      <c r="T112" s="1642"/>
      <c r="U112" s="1642"/>
      <c r="V112" s="1642"/>
    </row>
    <row r="113" spans="1:22" x14ac:dyDescent="0.25">
      <c r="A113" s="1641"/>
      <c r="B113" s="1641"/>
      <c r="C113" s="1642"/>
      <c r="D113" s="1642"/>
      <c r="E113" s="1642"/>
      <c r="F113" s="1642"/>
      <c r="G113" s="1642"/>
      <c r="H113" s="1642"/>
      <c r="I113" s="1642"/>
      <c r="J113" s="1642"/>
      <c r="K113" s="1642"/>
      <c r="L113" s="1642"/>
      <c r="M113" s="1642"/>
      <c r="N113" s="1642"/>
      <c r="O113" s="1642"/>
      <c r="P113" s="1642"/>
      <c r="Q113" s="1642"/>
      <c r="R113" s="1642"/>
      <c r="S113" s="1642"/>
      <c r="T113" s="1642"/>
      <c r="U113" s="1642"/>
      <c r="V113" s="1642"/>
    </row>
    <row r="114" spans="1:22" ht="15.75" thickBot="1" x14ac:dyDescent="0.3">
      <c r="A114" s="1641"/>
      <c r="B114" s="1641"/>
      <c r="C114" s="1642" t="s">
        <v>1188</v>
      </c>
      <c r="D114" s="1642"/>
      <c r="E114" s="1642"/>
      <c r="F114" s="1642"/>
      <c r="G114" s="1642"/>
      <c r="H114" s="1642"/>
      <c r="I114" s="1642"/>
      <c r="J114" s="1642"/>
      <c r="K114" s="1642"/>
      <c r="L114" s="1642"/>
      <c r="M114" s="1642"/>
      <c r="N114" s="1642"/>
      <c r="O114" s="1642"/>
      <c r="P114" s="1642"/>
      <c r="Q114" s="1642"/>
      <c r="R114" s="1642"/>
      <c r="S114" s="1642"/>
      <c r="T114" s="1642"/>
      <c r="U114" s="1642"/>
      <c r="V114" s="1642"/>
    </row>
    <row r="115" spans="1:22" x14ac:dyDescent="0.25">
      <c r="A115" s="1804">
        <v>2000</v>
      </c>
      <c r="B115" s="1804"/>
      <c r="C115" s="1645">
        <v>898064</v>
      </c>
      <c r="D115" s="1645" t="s">
        <v>1189</v>
      </c>
      <c r="E115" s="1645" t="s">
        <v>1190</v>
      </c>
      <c r="F115" s="1645" t="s">
        <v>1191</v>
      </c>
      <c r="G115" s="1645" t="s">
        <v>1192</v>
      </c>
      <c r="H115" s="1645" t="s">
        <v>1193</v>
      </c>
      <c r="I115" s="1645" t="s">
        <v>1194</v>
      </c>
      <c r="J115" s="1645" t="s">
        <v>1195</v>
      </c>
      <c r="K115" s="1645" t="s">
        <v>1196</v>
      </c>
      <c r="L115" s="1645" t="s">
        <v>1197</v>
      </c>
      <c r="M115" s="1645" t="s">
        <v>1198</v>
      </c>
      <c r="N115" s="1645" t="s">
        <v>1199</v>
      </c>
      <c r="O115" s="1645" t="s">
        <v>1200</v>
      </c>
      <c r="P115" s="1645" t="s">
        <v>1201</v>
      </c>
      <c r="Q115" s="1645" t="s">
        <v>1182</v>
      </c>
      <c r="R115" s="1645" t="s">
        <v>1202</v>
      </c>
      <c r="S115" s="1642"/>
      <c r="T115" s="1642"/>
      <c r="U115" s="1642"/>
      <c r="V115" s="1642"/>
    </row>
    <row r="116" spans="1:22" x14ac:dyDescent="0.25">
      <c r="A116" s="1803">
        <v>2005</v>
      </c>
      <c r="B116" s="1803"/>
      <c r="C116" s="1645">
        <v>983898</v>
      </c>
      <c r="D116" s="1645" t="s">
        <v>1203</v>
      </c>
      <c r="E116" s="1645" t="s">
        <v>1204</v>
      </c>
      <c r="F116" s="1645" t="s">
        <v>1205</v>
      </c>
      <c r="G116" s="1645" t="s">
        <v>1206</v>
      </c>
      <c r="H116" s="1645" t="s">
        <v>1207</v>
      </c>
      <c r="I116" s="1645" t="s">
        <v>1208</v>
      </c>
      <c r="J116" s="1645" t="s">
        <v>1209</v>
      </c>
      <c r="K116" s="1645" t="s">
        <v>1210</v>
      </c>
      <c r="L116" s="1645" t="s">
        <v>1211</v>
      </c>
      <c r="M116" s="1645" t="s">
        <v>1212</v>
      </c>
      <c r="N116" s="1645" t="s">
        <v>1213</v>
      </c>
      <c r="O116" s="1645" t="s">
        <v>1214</v>
      </c>
      <c r="P116" s="1645" t="s">
        <v>1215</v>
      </c>
      <c r="Q116" s="1645" t="s">
        <v>1183</v>
      </c>
      <c r="R116" s="1645" t="s">
        <v>1216</v>
      </c>
      <c r="S116" s="1642"/>
      <c r="T116" s="1642"/>
      <c r="U116" s="1642"/>
      <c r="V116" s="1642"/>
    </row>
    <row r="117" spans="1:22" x14ac:dyDescent="0.25">
      <c r="A117" s="1803">
        <v>2010</v>
      </c>
      <c r="B117" s="1803"/>
      <c r="C117" s="1645">
        <v>1076104</v>
      </c>
      <c r="D117" s="1645" t="s">
        <v>1217</v>
      </c>
      <c r="E117" s="1645">
        <v>522</v>
      </c>
      <c r="F117" s="1645" t="s">
        <v>1218</v>
      </c>
      <c r="G117" s="1645" t="s">
        <v>1219</v>
      </c>
      <c r="H117" s="1645" t="s">
        <v>1220</v>
      </c>
      <c r="I117" s="1645" t="s">
        <v>1221</v>
      </c>
      <c r="J117" s="1645" t="s">
        <v>1222</v>
      </c>
      <c r="K117" s="1645" t="s">
        <v>1223</v>
      </c>
      <c r="L117" s="1645" t="s">
        <v>1224</v>
      </c>
      <c r="M117" s="1645">
        <v>355</v>
      </c>
      <c r="N117" s="1645" t="s">
        <v>1225</v>
      </c>
      <c r="O117" s="1645" t="s">
        <v>1226</v>
      </c>
      <c r="P117" s="1645" t="s">
        <v>1227</v>
      </c>
      <c r="Q117" s="1645" t="s">
        <v>1184</v>
      </c>
      <c r="R117" s="1645" t="s">
        <v>1228</v>
      </c>
      <c r="S117" s="1642"/>
      <c r="T117" s="1642"/>
      <c r="U117" s="1642"/>
      <c r="V117" s="1642"/>
    </row>
    <row r="118" spans="1:22" x14ac:dyDescent="0.25">
      <c r="A118" s="1803" t="s">
        <v>1229</v>
      </c>
      <c r="B118" s="1803"/>
      <c r="C118" s="1645">
        <v>961568</v>
      </c>
      <c r="D118" s="1645" t="s">
        <v>1230</v>
      </c>
      <c r="E118" s="1645" t="s">
        <v>1231</v>
      </c>
      <c r="F118" s="1645" t="s">
        <v>1232</v>
      </c>
      <c r="G118" s="1645" t="s">
        <v>1233</v>
      </c>
      <c r="H118" s="1645" t="s">
        <v>1234</v>
      </c>
      <c r="I118" s="1645" t="s">
        <v>1235</v>
      </c>
      <c r="J118" s="1645" t="s">
        <v>1236</v>
      </c>
      <c r="K118" s="1645" t="s">
        <v>1237</v>
      </c>
      <c r="L118" s="1645" t="s">
        <v>1238</v>
      </c>
      <c r="M118" s="1645" t="s">
        <v>1239</v>
      </c>
      <c r="N118" s="1645" t="s">
        <v>1240</v>
      </c>
      <c r="O118" s="1645" t="s">
        <v>1241</v>
      </c>
      <c r="P118" s="1645" t="s">
        <v>1242</v>
      </c>
      <c r="Q118" s="1645" t="s">
        <v>1185</v>
      </c>
      <c r="R118" s="1645" t="s">
        <v>1236</v>
      </c>
      <c r="S118" s="1642"/>
      <c r="T118" s="1642"/>
      <c r="U118" s="1642"/>
      <c r="V118" s="1642"/>
    </row>
    <row r="119" spans="1:22" x14ac:dyDescent="0.25">
      <c r="A119" s="1803" t="s">
        <v>1243</v>
      </c>
      <c r="B119" s="1803"/>
      <c r="C119" s="1645">
        <v>966027</v>
      </c>
      <c r="D119" s="1645" t="s">
        <v>1244</v>
      </c>
      <c r="E119" s="1645">
        <v>644</v>
      </c>
      <c r="F119" s="1645" t="s">
        <v>1245</v>
      </c>
      <c r="G119" s="1645" t="s">
        <v>1246</v>
      </c>
      <c r="H119" s="1645" t="s">
        <v>1247</v>
      </c>
      <c r="I119" s="1645" t="s">
        <v>1248</v>
      </c>
      <c r="J119" s="1645" t="s">
        <v>1249</v>
      </c>
      <c r="K119" s="1645" t="s">
        <v>1250</v>
      </c>
      <c r="L119" s="1645" t="s">
        <v>1251</v>
      </c>
      <c r="M119" s="1645">
        <v>178</v>
      </c>
      <c r="N119" s="1645" t="s">
        <v>1252</v>
      </c>
      <c r="O119" s="1645" t="s">
        <v>1253</v>
      </c>
      <c r="P119" s="1645" t="s">
        <v>1254</v>
      </c>
      <c r="Q119" s="1645" t="s">
        <v>1186</v>
      </c>
      <c r="R119" s="1645" t="s">
        <v>1255</v>
      </c>
      <c r="S119" s="1642"/>
      <c r="T119" s="1642"/>
      <c r="U119" s="1642"/>
      <c r="V119" s="1642"/>
    </row>
    <row r="120" spans="1:22" x14ac:dyDescent="0.25">
      <c r="A120" s="1641"/>
      <c r="B120" s="1641"/>
      <c r="C120" s="1642"/>
      <c r="D120" s="1642"/>
      <c r="E120" s="1642"/>
      <c r="F120" s="1642"/>
      <c r="G120" s="1642"/>
      <c r="H120" s="1642"/>
      <c r="I120" s="1642"/>
      <c r="J120" s="1642"/>
      <c r="K120" s="1642"/>
      <c r="L120" s="1642"/>
      <c r="M120" s="1642"/>
      <c r="N120" s="1642"/>
      <c r="O120" s="1642"/>
      <c r="P120" s="1642"/>
      <c r="Q120" s="1642"/>
      <c r="R120" s="1642"/>
      <c r="S120" s="1642"/>
      <c r="T120" s="1642"/>
      <c r="U120" s="1642"/>
      <c r="V120" s="1642"/>
    </row>
    <row r="121" spans="1:22" x14ac:dyDescent="0.25">
      <c r="A121" s="1641"/>
      <c r="B121" s="1641"/>
      <c r="C121" s="1642"/>
      <c r="D121" s="1642"/>
      <c r="E121" s="1642"/>
      <c r="F121" s="1642"/>
      <c r="G121" s="1642"/>
      <c r="H121" s="1642"/>
      <c r="I121" s="1642"/>
      <c r="J121" s="1642"/>
      <c r="K121" s="1642"/>
      <c r="L121" s="1642"/>
      <c r="M121" s="1642"/>
      <c r="N121" s="1642"/>
      <c r="O121" s="1642"/>
      <c r="P121" s="1642"/>
      <c r="Q121" s="1642"/>
      <c r="R121" s="1642"/>
      <c r="S121" s="1642"/>
      <c r="T121" s="1642"/>
      <c r="U121" s="1642"/>
      <c r="V121" s="1642"/>
    </row>
    <row r="122" spans="1:22" x14ac:dyDescent="0.25">
      <c r="A122" s="1641"/>
      <c r="B122" s="1641"/>
      <c r="C122" s="1642"/>
      <c r="D122" s="1642"/>
      <c r="E122" s="1642"/>
      <c r="F122" s="1642"/>
      <c r="G122" s="1642"/>
      <c r="H122" s="1642"/>
      <c r="I122" s="1642"/>
      <c r="J122" s="1642"/>
      <c r="K122" s="1642"/>
      <c r="L122" s="1642"/>
      <c r="M122" s="1642"/>
      <c r="N122" s="1642"/>
      <c r="O122" s="1642"/>
      <c r="P122" s="1642"/>
      <c r="Q122" s="1642"/>
      <c r="R122" s="1642"/>
      <c r="S122" s="1642"/>
      <c r="T122" s="1642"/>
      <c r="U122" s="1642"/>
      <c r="V122" s="1642"/>
    </row>
    <row r="123" spans="1:22" x14ac:dyDescent="0.25">
      <c r="A123" s="1641"/>
      <c r="B123" s="1641"/>
      <c r="C123" s="1642"/>
      <c r="D123" s="1642"/>
      <c r="E123" s="1642"/>
      <c r="F123" s="1642"/>
      <c r="G123" s="1642"/>
      <c r="H123" s="1642"/>
      <c r="I123" s="1642"/>
      <c r="J123" s="1642"/>
      <c r="K123" s="1642"/>
      <c r="L123" s="1642"/>
      <c r="M123" s="1642"/>
      <c r="N123" s="1642"/>
      <c r="O123" s="1642"/>
      <c r="P123" s="1642"/>
      <c r="Q123" s="1642"/>
      <c r="R123" s="1642"/>
      <c r="S123" s="1642"/>
      <c r="T123" s="1642"/>
      <c r="U123" s="1642"/>
      <c r="V123" s="1642"/>
    </row>
    <row r="124" spans="1:22" x14ac:dyDescent="0.25">
      <c r="A124" s="1641"/>
      <c r="B124" s="1641"/>
      <c r="C124" s="1642"/>
      <c r="D124" s="1642"/>
      <c r="E124" s="1642"/>
      <c r="F124" s="1642"/>
      <c r="G124" s="1642"/>
      <c r="H124" s="1642"/>
      <c r="I124" s="1642"/>
      <c r="J124" s="1642"/>
      <c r="K124" s="1642"/>
      <c r="L124" s="1642"/>
      <c r="M124" s="1642"/>
      <c r="N124" s="1642"/>
      <c r="O124" s="1642"/>
      <c r="P124" s="1642"/>
      <c r="Q124" s="1642"/>
      <c r="R124" s="1642"/>
      <c r="S124" s="1642"/>
      <c r="T124" s="1642"/>
      <c r="U124" s="1642"/>
      <c r="V124" s="1642"/>
    </row>
    <row r="125" spans="1:22" x14ac:dyDescent="0.25">
      <c r="A125" s="1641"/>
      <c r="B125" s="1641"/>
      <c r="C125" s="1642"/>
      <c r="D125" s="1642"/>
      <c r="E125" s="1642"/>
      <c r="F125" s="1642"/>
      <c r="G125" s="1642"/>
      <c r="H125" s="1642"/>
      <c r="I125" s="1642"/>
      <c r="J125" s="1642"/>
      <c r="K125" s="1642"/>
      <c r="L125" s="1642"/>
      <c r="M125" s="1642"/>
      <c r="N125" s="1642"/>
      <c r="O125" s="1642"/>
      <c r="P125" s="1642"/>
      <c r="Q125" s="1642"/>
      <c r="R125" s="1642"/>
      <c r="S125" s="1642"/>
      <c r="T125" s="1642"/>
      <c r="U125" s="1642"/>
      <c r="V125" s="1642"/>
    </row>
    <row r="126" spans="1:22" x14ac:dyDescent="0.25">
      <c r="A126" s="1641"/>
      <c r="B126" s="1641"/>
      <c r="C126" s="1642"/>
      <c r="D126" s="1642"/>
      <c r="E126" s="1642"/>
      <c r="F126" s="1642"/>
      <c r="G126" s="1642"/>
      <c r="H126" s="1642"/>
      <c r="I126" s="1642"/>
      <c r="J126" s="1642"/>
      <c r="K126" s="1642"/>
      <c r="L126" s="1642"/>
      <c r="M126" s="1642"/>
      <c r="N126" s="1642"/>
      <c r="O126" s="1642"/>
      <c r="P126" s="1642"/>
      <c r="Q126" s="1642"/>
      <c r="R126" s="1642"/>
      <c r="S126" s="1642"/>
      <c r="T126" s="1642"/>
      <c r="U126" s="1642"/>
      <c r="V126" s="1642"/>
    </row>
    <row r="127" spans="1:22" x14ac:dyDescent="0.25">
      <c r="A127" s="1641"/>
      <c r="B127" s="1641"/>
      <c r="C127" s="1642"/>
      <c r="D127" s="1642"/>
      <c r="E127" s="1642"/>
      <c r="F127" s="1642"/>
      <c r="G127" s="1642"/>
      <c r="H127" s="1642"/>
      <c r="I127" s="1642"/>
      <c r="J127" s="1642"/>
      <c r="K127" s="1642"/>
      <c r="L127" s="1642"/>
      <c r="M127" s="1642"/>
      <c r="N127" s="1642"/>
      <c r="O127" s="1642"/>
      <c r="P127" s="1642"/>
      <c r="Q127" s="1642"/>
      <c r="R127" s="1642"/>
      <c r="S127" s="1642"/>
      <c r="T127" s="1642"/>
      <c r="U127" s="1642"/>
      <c r="V127" s="1642"/>
    </row>
    <row r="128" spans="1:22" x14ac:dyDescent="0.25">
      <c r="A128" s="1641"/>
      <c r="B128" s="1641"/>
      <c r="C128" s="1642"/>
      <c r="D128" s="1642"/>
      <c r="E128" s="1642"/>
      <c r="F128" s="1642"/>
      <c r="G128" s="1642"/>
      <c r="H128" s="1642"/>
      <c r="I128" s="1642"/>
      <c r="J128" s="1642"/>
      <c r="K128" s="1642"/>
      <c r="L128" s="1642"/>
      <c r="M128" s="1642"/>
      <c r="N128" s="1642"/>
      <c r="O128" s="1642"/>
      <c r="P128" s="1642"/>
      <c r="Q128" s="1642"/>
      <c r="R128" s="1642"/>
      <c r="S128" s="1642"/>
      <c r="T128" s="1642"/>
      <c r="U128" s="1642"/>
      <c r="V128" s="1642"/>
    </row>
    <row r="129" spans="1:22" ht="15.75" thickBot="1" x14ac:dyDescent="0.3">
      <c r="A129" s="1641"/>
      <c r="B129" s="1641"/>
      <c r="C129" s="1642" t="s">
        <v>1256</v>
      </c>
      <c r="D129" s="1642"/>
      <c r="E129" s="1642"/>
      <c r="F129" s="1642"/>
      <c r="G129" s="1642"/>
      <c r="H129" s="1642"/>
      <c r="I129" s="1642"/>
      <c r="J129" s="1642"/>
      <c r="K129" s="1642"/>
      <c r="L129" s="1642"/>
      <c r="M129" s="1642"/>
      <c r="N129" s="1642"/>
      <c r="O129" s="1642"/>
      <c r="P129" s="1642"/>
      <c r="Q129" s="1642"/>
      <c r="R129" s="1642"/>
      <c r="S129" s="1642"/>
      <c r="T129" s="1642"/>
      <c r="U129" s="1642"/>
      <c r="V129" s="1642"/>
    </row>
    <row r="130" spans="1:22" x14ac:dyDescent="0.25">
      <c r="A130" s="1804">
        <v>2000</v>
      </c>
      <c r="B130" s="1804"/>
      <c r="C130" s="1642">
        <v>418329</v>
      </c>
      <c r="D130" s="1642"/>
      <c r="E130" s="1642"/>
      <c r="F130" s="1642"/>
      <c r="G130" s="1642"/>
      <c r="H130" s="1642"/>
      <c r="I130" s="1642"/>
      <c r="J130" s="1642"/>
      <c r="K130" s="1642"/>
      <c r="L130" s="1642"/>
      <c r="M130" s="1642"/>
      <c r="N130" s="1642"/>
      <c r="O130" s="1642"/>
      <c r="P130" s="1642"/>
      <c r="Q130" s="1642"/>
      <c r="R130" s="1642"/>
      <c r="S130" s="1642"/>
      <c r="T130" s="1642"/>
      <c r="U130" s="1642"/>
      <c r="V130" s="1642"/>
    </row>
    <row r="131" spans="1:22" x14ac:dyDescent="0.25">
      <c r="A131" s="1803">
        <v>2005</v>
      </c>
      <c r="B131" s="1803"/>
      <c r="C131" s="1642">
        <v>391235</v>
      </c>
      <c r="D131" s="1642"/>
      <c r="E131" s="1642"/>
      <c r="F131" s="1642"/>
      <c r="G131" s="1642"/>
      <c r="H131" s="1642"/>
      <c r="I131" s="1642"/>
      <c r="J131" s="1642"/>
      <c r="K131" s="1642"/>
      <c r="L131" s="1642"/>
      <c r="M131" s="1642"/>
      <c r="N131" s="1642"/>
      <c r="O131" s="1642"/>
      <c r="P131" s="1642"/>
      <c r="Q131" s="1642"/>
      <c r="R131" s="1642"/>
      <c r="S131" s="1642"/>
      <c r="T131" s="1642"/>
      <c r="U131" s="1642"/>
      <c r="V131" s="1642"/>
    </row>
    <row r="132" spans="1:22" x14ac:dyDescent="0.25">
      <c r="A132" s="1803">
        <v>2010</v>
      </c>
      <c r="B132" s="1803"/>
      <c r="C132" s="1642">
        <v>457029</v>
      </c>
      <c r="D132" s="1642"/>
      <c r="E132" s="1642"/>
      <c r="F132" s="1642"/>
      <c r="G132" s="1642"/>
      <c r="H132" s="1642"/>
      <c r="I132" s="1642"/>
      <c r="J132" s="1642"/>
      <c r="K132" s="1642"/>
      <c r="L132" s="1642"/>
      <c r="M132" s="1642"/>
      <c r="N132" s="1642"/>
      <c r="O132" s="1642"/>
      <c r="P132" s="1642"/>
      <c r="Q132" s="1642"/>
      <c r="R132" s="1642"/>
      <c r="S132" s="1642"/>
      <c r="T132" s="1642"/>
      <c r="U132" s="1642"/>
      <c r="V132" s="1642"/>
    </row>
    <row r="133" spans="1:22" x14ac:dyDescent="0.25">
      <c r="A133" s="1803" t="s">
        <v>1229</v>
      </c>
      <c r="B133" s="1803"/>
      <c r="C133" s="1642">
        <v>369275</v>
      </c>
      <c r="D133" s="1642"/>
      <c r="E133" s="1642"/>
      <c r="F133" s="1642"/>
      <c r="G133" s="1642"/>
      <c r="H133" s="1642"/>
      <c r="I133" s="1642"/>
      <c r="J133" s="1642"/>
      <c r="K133" s="1642"/>
      <c r="L133" s="1642"/>
      <c r="M133" s="1642"/>
      <c r="N133" s="1642"/>
      <c r="O133" s="1642"/>
      <c r="P133" s="1642"/>
      <c r="Q133" s="1642"/>
      <c r="R133" s="1642"/>
      <c r="S133" s="1642"/>
      <c r="T133" s="1642"/>
      <c r="U133" s="1642"/>
      <c r="V133" s="1642"/>
    </row>
    <row r="134" spans="1:22" x14ac:dyDescent="0.25">
      <c r="A134" s="1803" t="s">
        <v>1243</v>
      </c>
      <c r="B134" s="1803"/>
      <c r="C134" s="1642">
        <v>357847</v>
      </c>
      <c r="D134" s="1642"/>
      <c r="E134" s="1642"/>
      <c r="F134" s="1642"/>
      <c r="G134" s="1642"/>
      <c r="H134" s="1642"/>
      <c r="I134" s="1642"/>
      <c r="J134" s="1642"/>
      <c r="K134" s="1642"/>
      <c r="L134" s="1642"/>
      <c r="M134" s="1642"/>
      <c r="N134" s="1642"/>
      <c r="O134" s="1642"/>
      <c r="P134" s="1642"/>
      <c r="Q134" s="1642"/>
      <c r="R134" s="1642"/>
      <c r="S134" s="1642"/>
      <c r="T134" s="1642"/>
      <c r="U134" s="1642"/>
      <c r="V134" s="1642"/>
    </row>
    <row r="135" spans="1:22" x14ac:dyDescent="0.25">
      <c r="A135" s="1641"/>
      <c r="B135" s="1641"/>
      <c r="C135" s="1642"/>
      <c r="D135" s="1642"/>
      <c r="E135" s="1642"/>
      <c r="F135" s="1642"/>
      <c r="G135" s="1642"/>
      <c r="H135" s="1642"/>
      <c r="I135" s="1642"/>
      <c r="J135" s="1642"/>
      <c r="K135" s="1642"/>
      <c r="L135" s="1642"/>
      <c r="M135" s="1642"/>
      <c r="N135" s="1642"/>
      <c r="O135" s="1642"/>
      <c r="P135" s="1642"/>
      <c r="Q135" s="1642"/>
      <c r="R135" s="1642"/>
      <c r="S135" s="1642"/>
      <c r="T135" s="1642"/>
      <c r="U135" s="1642"/>
      <c r="V135" s="1642"/>
    </row>
    <row r="136" spans="1:22" x14ac:dyDescent="0.25">
      <c r="A136" s="1641"/>
      <c r="B136" s="1641"/>
      <c r="C136" s="1642"/>
      <c r="D136" s="1642"/>
      <c r="E136" s="1642"/>
      <c r="F136" s="1642"/>
      <c r="G136" s="1642"/>
      <c r="H136" s="1642"/>
      <c r="I136" s="1642"/>
      <c r="J136" s="1642"/>
      <c r="K136" s="1642"/>
      <c r="L136" s="1642"/>
      <c r="M136" s="1642"/>
      <c r="N136" s="1642"/>
      <c r="O136" s="1642"/>
      <c r="P136" s="1642"/>
      <c r="Q136" s="1642"/>
      <c r="R136" s="1642"/>
      <c r="S136" s="1642"/>
      <c r="T136" s="1642"/>
      <c r="U136" s="1642"/>
      <c r="V136" s="1642"/>
    </row>
    <row r="137" spans="1:22" x14ac:dyDescent="0.25">
      <c r="A137" s="1641"/>
      <c r="B137" s="1641"/>
      <c r="C137" s="1642"/>
      <c r="D137" s="1642"/>
      <c r="E137" s="1642"/>
      <c r="F137" s="1642"/>
      <c r="G137" s="1642"/>
      <c r="H137" s="1642"/>
      <c r="I137" s="1642"/>
      <c r="J137" s="1642"/>
      <c r="K137" s="1642"/>
      <c r="L137" s="1642"/>
      <c r="M137" s="1642"/>
      <c r="N137" s="1642"/>
      <c r="O137" s="1642"/>
      <c r="P137" s="1642"/>
      <c r="Q137" s="1642"/>
      <c r="R137" s="1642"/>
      <c r="S137" s="1642"/>
      <c r="T137" s="1642"/>
      <c r="U137" s="1642"/>
      <c r="V137" s="1642"/>
    </row>
    <row r="138" spans="1:22" x14ac:dyDescent="0.25">
      <c r="A138" s="1641"/>
      <c r="B138" s="1641"/>
      <c r="C138" s="1642"/>
      <c r="D138" s="1642"/>
      <c r="E138" s="1642"/>
      <c r="F138" s="1642"/>
      <c r="G138" s="1642"/>
      <c r="H138" s="1642"/>
      <c r="I138" s="1642"/>
      <c r="J138" s="1642"/>
      <c r="K138" s="1642"/>
      <c r="L138" s="1642"/>
      <c r="M138" s="1642"/>
      <c r="N138" s="1642"/>
      <c r="O138" s="1642"/>
      <c r="P138" s="1642"/>
      <c r="Q138" s="1642"/>
      <c r="R138" s="1642"/>
      <c r="S138" s="1642"/>
      <c r="T138" s="1642"/>
      <c r="U138" s="1642"/>
      <c r="V138" s="1642"/>
    </row>
    <row r="139" spans="1:22" x14ac:dyDescent="0.25">
      <c r="A139" s="1641"/>
      <c r="B139" s="1641"/>
      <c r="C139" s="1642"/>
      <c r="D139" s="1642"/>
      <c r="E139" s="1642"/>
      <c r="F139" s="1642"/>
      <c r="G139" s="1642"/>
      <c r="H139" s="1642"/>
      <c r="I139" s="1642"/>
      <c r="J139" s="1642"/>
      <c r="K139" s="1642"/>
      <c r="L139" s="1642"/>
      <c r="M139" s="1642"/>
      <c r="N139" s="1642"/>
      <c r="O139" s="1642"/>
      <c r="P139" s="1642"/>
      <c r="Q139" s="1642"/>
      <c r="R139" s="1642"/>
      <c r="S139" s="1642"/>
      <c r="T139" s="1642"/>
      <c r="U139" s="1642"/>
      <c r="V139" s="1642"/>
    </row>
    <row r="140" spans="1:22" x14ac:dyDescent="0.25">
      <c r="A140" s="1641"/>
      <c r="B140" s="1641"/>
      <c r="C140" s="1642"/>
      <c r="D140" s="1642"/>
      <c r="E140" s="1642"/>
      <c r="F140" s="1642"/>
      <c r="G140" s="1642"/>
      <c r="H140" s="1642"/>
      <c r="I140" s="1642"/>
      <c r="J140" s="1642"/>
      <c r="K140" s="1642"/>
      <c r="L140" s="1642"/>
      <c r="M140" s="1642"/>
      <c r="N140" s="1642"/>
      <c r="O140" s="1642"/>
      <c r="P140" s="1642"/>
      <c r="Q140" s="1642"/>
      <c r="R140" s="1642"/>
      <c r="S140" s="1642"/>
      <c r="T140" s="1642"/>
      <c r="U140" s="1642"/>
      <c r="V140" s="1642"/>
    </row>
    <row r="141" spans="1:22" x14ac:dyDescent="0.25">
      <c r="A141" s="1641"/>
      <c r="B141" s="1641"/>
      <c r="C141" s="1642"/>
      <c r="D141" s="1642"/>
      <c r="E141" s="1642"/>
      <c r="F141" s="1642"/>
      <c r="G141" s="1642"/>
      <c r="H141" s="1642"/>
      <c r="I141" s="1642"/>
      <c r="J141" s="1642"/>
      <c r="K141" s="1642"/>
      <c r="L141" s="1642"/>
      <c r="M141" s="1642"/>
      <c r="N141" s="1642"/>
      <c r="O141" s="1642"/>
      <c r="P141" s="1642"/>
      <c r="Q141" s="1642"/>
      <c r="R141" s="1642"/>
      <c r="S141" s="1642"/>
      <c r="T141" s="1642"/>
      <c r="U141" s="1642"/>
      <c r="V141" s="1642"/>
    </row>
  </sheetData>
  <mergeCells count="10">
    <mergeCell ref="A131:B131"/>
    <mergeCell ref="A132:B132"/>
    <mergeCell ref="A133:B133"/>
    <mergeCell ref="A134:B134"/>
    <mergeCell ref="A115:B115"/>
    <mergeCell ref="A116:B116"/>
    <mergeCell ref="A117:B117"/>
    <mergeCell ref="A118:B118"/>
    <mergeCell ref="A119:B119"/>
    <mergeCell ref="A130:B130"/>
  </mergeCells>
  <hyperlinks>
    <hyperlink ref="D5" r:id="rId1"/>
    <hyperlink ref="D7" r:id="rId2"/>
  </hyperlinks>
  <pageMargins left="0.7" right="0.7" top="0.75" bottom="0.75" header="0.3" footer="0.3"/>
  <pageSetup paperSize="9" orientation="portrait" horizontalDpi="4294967293" verticalDpi="4294967293"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66"/>
  <sheetViews>
    <sheetView showGridLines="0" topLeftCell="A94" zoomScale="90" zoomScaleNormal="90" workbookViewId="0">
      <selection activeCell="B51" sqref="B51"/>
    </sheetView>
  </sheetViews>
  <sheetFormatPr defaultRowHeight="15" x14ac:dyDescent="0.25"/>
  <cols>
    <col min="1" max="1" width="82.85546875" style="2" customWidth="1"/>
    <col min="2" max="2" width="12.28515625" customWidth="1"/>
    <col min="3" max="3" width="17" customWidth="1"/>
    <col min="4" max="4" width="63.7109375" style="20" customWidth="1"/>
    <col min="5" max="5" width="34" customWidth="1"/>
    <col min="6" max="9" width="13" customWidth="1"/>
    <col min="10" max="10" width="45.5703125" customWidth="1"/>
  </cols>
  <sheetData>
    <row r="1" spans="1:10" x14ac:dyDescent="0.25">
      <c r="A1" s="309"/>
      <c r="B1" s="310"/>
      <c r="C1" s="311"/>
      <c r="D1" s="312"/>
      <c r="E1" s="311"/>
      <c r="F1" s="311"/>
      <c r="G1" s="311"/>
      <c r="H1" s="311"/>
      <c r="I1" s="311"/>
      <c r="J1" s="311"/>
    </row>
    <row r="2" spans="1:10" x14ac:dyDescent="0.25">
      <c r="A2" s="309"/>
      <c r="B2" s="311"/>
      <c r="C2" s="311"/>
      <c r="D2" s="312"/>
      <c r="E2" s="311"/>
      <c r="F2" s="311"/>
      <c r="G2" s="311"/>
      <c r="H2" s="311"/>
      <c r="I2" s="311"/>
      <c r="J2" s="311"/>
    </row>
    <row r="3" spans="1:10" x14ac:dyDescent="0.25">
      <c r="A3" s="309"/>
      <c r="B3" s="311"/>
      <c r="C3" s="311"/>
      <c r="D3" s="312"/>
      <c r="E3" s="311"/>
      <c r="F3" s="311"/>
      <c r="G3" s="311"/>
      <c r="H3" s="311"/>
      <c r="I3" s="311"/>
      <c r="J3" s="311"/>
    </row>
    <row r="4" spans="1:10" ht="21.75" thickBot="1" x14ac:dyDescent="0.4">
      <c r="A4" s="24" t="s">
        <v>161</v>
      </c>
      <c r="B4" s="25"/>
      <c r="C4" s="26"/>
      <c r="D4" s="84" t="s">
        <v>234</v>
      </c>
      <c r="E4" s="19"/>
      <c r="F4" s="19"/>
      <c r="G4" s="19"/>
      <c r="H4" s="311"/>
      <c r="I4" s="311"/>
      <c r="J4" s="311"/>
    </row>
    <row r="5" spans="1:10" ht="15.75" x14ac:dyDescent="0.25">
      <c r="A5" s="1719" t="s">
        <v>236</v>
      </c>
      <c r="B5" s="1720"/>
      <c r="C5" s="1720"/>
      <c r="D5" s="1721"/>
      <c r="E5" s="19"/>
      <c r="F5" s="19"/>
      <c r="G5" s="19"/>
      <c r="H5" s="311"/>
      <c r="I5" s="311"/>
      <c r="J5" s="311"/>
    </row>
    <row r="6" spans="1:10" ht="79.5" thickBot="1" x14ac:dyDescent="0.3">
      <c r="A6" s="1280" t="s">
        <v>1077</v>
      </c>
      <c r="B6" s="520">
        <v>7.0000000000000007E-2</v>
      </c>
      <c r="C6" s="146"/>
      <c r="D6" s="1597" t="s">
        <v>1131</v>
      </c>
      <c r="E6" s="311"/>
      <c r="F6" s="566"/>
      <c r="G6" s="19"/>
      <c r="H6" s="311"/>
      <c r="I6" s="311"/>
      <c r="J6" s="311"/>
    </row>
    <row r="7" spans="1:10" ht="15.75" x14ac:dyDescent="0.25">
      <c r="A7" s="1719" t="s">
        <v>947</v>
      </c>
      <c r="B7" s="1720"/>
      <c r="C7" s="1720"/>
      <c r="D7" s="1721"/>
      <c r="E7" s="311"/>
      <c r="F7" s="564"/>
      <c r="G7" s="19"/>
      <c r="H7" s="311"/>
      <c r="I7" s="311"/>
      <c r="J7" s="311"/>
    </row>
    <row r="8" spans="1:10" ht="47.25" x14ac:dyDescent="0.25">
      <c r="A8" s="542" t="s">
        <v>998</v>
      </c>
      <c r="B8" s="520">
        <v>7.0000000000000007E-2</v>
      </c>
      <c r="C8" s="389" t="s">
        <v>157</v>
      </c>
      <c r="D8" s="147" t="s">
        <v>999</v>
      </c>
      <c r="E8" s="1728" t="str">
        <f>IF($B8&lt;=$B9, "Het basisbedrag in B8 moet groter zijn dan het correctiebedrag in B9","")</f>
        <v/>
      </c>
      <c r="F8" s="557"/>
      <c r="G8" s="19"/>
      <c r="H8" s="311"/>
      <c r="I8" s="311"/>
      <c r="J8" s="311"/>
    </row>
    <row r="9" spans="1:10" ht="63" x14ac:dyDescent="0.25">
      <c r="A9" s="542" t="s">
        <v>631</v>
      </c>
      <c r="B9" s="394">
        <v>2.8000000000000001E-2</v>
      </c>
      <c r="C9" s="389" t="s">
        <v>157</v>
      </c>
      <c r="D9" s="150" t="s">
        <v>840</v>
      </c>
      <c r="E9" s="1728"/>
      <c r="F9" s="558"/>
      <c r="G9" s="311"/>
      <c r="H9" s="311"/>
      <c r="I9" s="311"/>
      <c r="J9" s="311"/>
    </row>
    <row r="10" spans="1:10" ht="34.5" x14ac:dyDescent="0.25">
      <c r="A10" s="542" t="s">
        <v>1000</v>
      </c>
      <c r="B10" s="821">
        <v>2200</v>
      </c>
      <c r="C10" s="389" t="s">
        <v>618</v>
      </c>
      <c r="D10" s="822" t="s">
        <v>945</v>
      </c>
      <c r="E10" s="19"/>
      <c r="F10" s="557"/>
      <c r="G10" s="19"/>
      <c r="H10" s="311"/>
      <c r="I10" s="311"/>
      <c r="J10" s="311"/>
    </row>
    <row r="11" spans="1:10" ht="32.25" thickBot="1" x14ac:dyDescent="0.3">
      <c r="A11" s="542" t="s">
        <v>213</v>
      </c>
      <c r="B11" s="395">
        <v>6000</v>
      </c>
      <c r="C11" s="389" t="s">
        <v>11</v>
      </c>
      <c r="D11" s="822" t="s">
        <v>1001</v>
      </c>
      <c r="E11" s="19"/>
      <c r="F11" s="557"/>
      <c r="G11" s="19"/>
      <c r="H11" s="311"/>
      <c r="I11" s="311"/>
      <c r="J11" s="311"/>
    </row>
    <row r="12" spans="1:10" ht="15.75" x14ac:dyDescent="0.25">
      <c r="A12" s="1716" t="s">
        <v>948</v>
      </c>
      <c r="B12" s="1717"/>
      <c r="C12" s="1717"/>
      <c r="D12" s="1718"/>
      <c r="E12" s="19"/>
      <c r="F12" s="557"/>
      <c r="G12" s="19"/>
      <c r="H12" s="311"/>
      <c r="I12" s="311"/>
      <c r="J12" s="311"/>
    </row>
    <row r="13" spans="1:10" ht="78.75" x14ac:dyDescent="0.25">
      <c r="A13" s="542" t="s">
        <v>1002</v>
      </c>
      <c r="B13" s="394">
        <v>0.05</v>
      </c>
      <c r="C13" s="389" t="s">
        <v>157</v>
      </c>
      <c r="D13" s="393" t="s">
        <v>1003</v>
      </c>
      <c r="E13" s="1728" t="str">
        <f>IF($B13&lt;=$B14, "Basisbedrag in B13 moet groter zijn dan het correctiebedrag in B14","")</f>
        <v/>
      </c>
      <c r="F13" s="557"/>
      <c r="G13" s="19"/>
      <c r="H13" s="311"/>
      <c r="I13" s="311"/>
      <c r="J13" s="311"/>
    </row>
    <row r="14" spans="1:10" ht="63" x14ac:dyDescent="0.25">
      <c r="A14" s="542" t="s">
        <v>632</v>
      </c>
      <c r="B14" s="394">
        <v>2.8000000000000001E-2</v>
      </c>
      <c r="C14" s="389" t="s">
        <v>157</v>
      </c>
      <c r="D14" s="150" t="s">
        <v>841</v>
      </c>
      <c r="E14" s="1728"/>
      <c r="F14" s="558"/>
      <c r="G14" s="19"/>
      <c r="H14" s="311"/>
      <c r="I14" s="311"/>
      <c r="J14" s="311"/>
    </row>
    <row r="15" spans="1:10" ht="63" x14ac:dyDescent="0.25">
      <c r="A15" s="542" t="s">
        <v>625</v>
      </c>
      <c r="B15" s="821">
        <v>3900</v>
      </c>
      <c r="C15" s="389" t="s">
        <v>618</v>
      </c>
      <c r="D15" s="822" t="s">
        <v>719</v>
      </c>
      <c r="E15" s="823"/>
      <c r="F15" s="558"/>
      <c r="G15" s="19"/>
      <c r="H15" s="311"/>
      <c r="I15" s="311"/>
      <c r="J15" s="311"/>
    </row>
    <row r="16" spans="1:10" ht="31.5" x14ac:dyDescent="0.25">
      <c r="A16" s="542" t="s">
        <v>626</v>
      </c>
      <c r="B16" s="395">
        <v>4450</v>
      </c>
      <c r="C16" s="389" t="s">
        <v>11</v>
      </c>
      <c r="D16" s="147" t="s">
        <v>1004</v>
      </c>
      <c r="E16" s="311"/>
      <c r="F16" s="557"/>
      <c r="G16" s="19"/>
      <c r="H16" s="311"/>
      <c r="I16" s="311"/>
      <c r="J16" s="311"/>
    </row>
    <row r="17" spans="1:10" ht="48" thickBot="1" x14ac:dyDescent="0.3">
      <c r="A17" s="542" t="s">
        <v>1005</v>
      </c>
      <c r="B17" s="396">
        <v>3000</v>
      </c>
      <c r="C17" s="661" t="s">
        <v>255</v>
      </c>
      <c r="D17" s="663" t="s">
        <v>718</v>
      </c>
      <c r="E17" s="19"/>
      <c r="F17" s="557"/>
      <c r="G17" s="19"/>
      <c r="H17" s="311"/>
      <c r="I17" s="311"/>
      <c r="J17" s="311"/>
    </row>
    <row r="18" spans="1:10" ht="15.75" x14ac:dyDescent="0.25">
      <c r="A18" s="1716" t="s">
        <v>950</v>
      </c>
      <c r="B18" s="1717"/>
      <c r="C18" s="1717"/>
      <c r="D18" s="1718"/>
      <c r="E18" s="19"/>
      <c r="F18" s="557"/>
      <c r="G18" s="19"/>
      <c r="H18" s="311"/>
      <c r="I18" s="311"/>
      <c r="J18" s="311"/>
    </row>
    <row r="19" spans="1:10" ht="47.25" x14ac:dyDescent="0.25">
      <c r="A19" s="542" t="s">
        <v>1006</v>
      </c>
      <c r="B19" s="394">
        <v>0.1</v>
      </c>
      <c r="C19" s="389" t="s">
        <v>157</v>
      </c>
      <c r="D19" s="393" t="s">
        <v>345</v>
      </c>
      <c r="E19" s="1728" t="str">
        <f>IF($B19&lt;=$B20, "Basisbedrag in B19 moet groter zijn dan het correctiebedrag in B20","")</f>
        <v/>
      </c>
      <c r="F19" s="557"/>
      <c r="G19" s="19"/>
      <c r="H19" s="311"/>
      <c r="I19" s="311"/>
      <c r="J19" s="311"/>
    </row>
    <row r="20" spans="1:10" ht="63" x14ac:dyDescent="0.25">
      <c r="A20" s="542" t="s">
        <v>632</v>
      </c>
      <c r="B20" s="662">
        <v>3.3000000000000002E-2</v>
      </c>
      <c r="C20" s="389" t="s">
        <v>157</v>
      </c>
      <c r="D20" s="406" t="s">
        <v>859</v>
      </c>
      <c r="E20" s="1728"/>
      <c r="F20" s="557"/>
      <c r="G20" s="19"/>
      <c r="H20" s="311"/>
      <c r="I20" s="311"/>
      <c r="J20" s="311"/>
    </row>
    <row r="21" spans="1:10" ht="47.25" x14ac:dyDescent="0.25">
      <c r="A21" s="542" t="s">
        <v>621</v>
      </c>
      <c r="B21" s="395">
        <v>3500</v>
      </c>
      <c r="C21" s="389" t="s">
        <v>11</v>
      </c>
      <c r="D21" s="393" t="s">
        <v>896</v>
      </c>
      <c r="E21" s="19"/>
      <c r="F21" s="557"/>
      <c r="G21" s="19"/>
      <c r="H21" s="311"/>
      <c r="I21" s="311"/>
      <c r="J21" s="311"/>
    </row>
    <row r="22" spans="1:10" ht="63" x14ac:dyDescent="0.25">
      <c r="A22" s="542" t="s">
        <v>972</v>
      </c>
      <c r="B22" s="397">
        <v>0.15</v>
      </c>
      <c r="C22" s="389"/>
      <c r="D22" s="393" t="s">
        <v>1007</v>
      </c>
      <c r="E22" s="19"/>
      <c r="F22" s="557"/>
      <c r="G22" s="19"/>
      <c r="H22" s="311"/>
      <c r="I22" s="311"/>
      <c r="J22" s="311"/>
    </row>
    <row r="23" spans="1:10" ht="63" x14ac:dyDescent="0.25">
      <c r="A23" s="542" t="s">
        <v>1035</v>
      </c>
      <c r="B23" s="394">
        <v>0.1</v>
      </c>
      <c r="C23" s="389" t="s">
        <v>157</v>
      </c>
      <c r="D23" s="1278" t="s">
        <v>1076</v>
      </c>
      <c r="E23" s="19"/>
      <c r="F23" s="557"/>
      <c r="G23" s="19"/>
      <c r="H23" s="311"/>
      <c r="I23" s="311"/>
      <c r="J23" s="311"/>
    </row>
    <row r="24" spans="1:10" ht="32.25" thickBot="1" x14ac:dyDescent="0.3">
      <c r="A24" s="542" t="s">
        <v>540</v>
      </c>
      <c r="B24" s="398">
        <v>0.05</v>
      </c>
      <c r="C24" s="389" t="s">
        <v>157</v>
      </c>
      <c r="D24" s="393" t="s">
        <v>402</v>
      </c>
      <c r="E24" s="19"/>
      <c r="F24" s="557"/>
      <c r="G24" s="19"/>
      <c r="H24" s="311"/>
      <c r="I24" s="311"/>
      <c r="J24" s="311"/>
    </row>
    <row r="25" spans="1:10" ht="15.75" x14ac:dyDescent="0.25">
      <c r="A25" s="1716" t="s">
        <v>266</v>
      </c>
      <c r="B25" s="1717"/>
      <c r="C25" s="1717"/>
      <c r="D25" s="1718"/>
      <c r="E25" s="19"/>
      <c r="F25" s="557"/>
      <c r="G25" s="19"/>
      <c r="H25" s="311"/>
      <c r="I25" s="311"/>
      <c r="J25" s="311"/>
    </row>
    <row r="26" spans="1:10" ht="47.25" x14ac:dyDescent="0.25">
      <c r="A26" s="542" t="s">
        <v>692</v>
      </c>
      <c r="B26" s="394">
        <v>6.6000000000000003E-2</v>
      </c>
      <c r="C26" s="149" t="s">
        <v>157</v>
      </c>
      <c r="D26" s="1278" t="s">
        <v>1130</v>
      </c>
      <c r="E26" s="19"/>
      <c r="F26" s="557"/>
      <c r="G26" s="19"/>
      <c r="H26" s="311"/>
      <c r="I26" s="311"/>
      <c r="J26" s="311"/>
    </row>
    <row r="27" spans="1:10" ht="48" thickBot="1" x14ac:dyDescent="0.3">
      <c r="A27" s="542" t="s">
        <v>318</v>
      </c>
      <c r="B27" s="395">
        <v>1.6</v>
      </c>
      <c r="C27" s="389" t="s">
        <v>381</v>
      </c>
      <c r="D27" s="393" t="s">
        <v>316</v>
      </c>
      <c r="E27" s="559"/>
      <c r="F27" s="557"/>
      <c r="G27" s="19"/>
      <c r="H27" s="311"/>
      <c r="I27" s="311"/>
      <c r="J27" s="311"/>
    </row>
    <row r="28" spans="1:10" ht="15.75" x14ac:dyDescent="0.25">
      <c r="A28" s="1716" t="s">
        <v>317</v>
      </c>
      <c r="B28" s="1717"/>
      <c r="C28" s="1717"/>
      <c r="D28" s="1718"/>
      <c r="E28" s="19"/>
      <c r="F28" s="557"/>
      <c r="G28" s="19"/>
      <c r="H28" s="311"/>
      <c r="I28" s="311"/>
      <c r="J28" s="311"/>
    </row>
    <row r="29" spans="1:10" ht="47.25" x14ac:dyDescent="0.25">
      <c r="A29" s="542" t="s">
        <v>399</v>
      </c>
      <c r="B29" s="394">
        <v>4.4999999999999998E-2</v>
      </c>
      <c r="C29" s="149" t="s">
        <v>157</v>
      </c>
      <c r="D29" s="147" t="s">
        <v>808</v>
      </c>
      <c r="E29" s="19"/>
      <c r="F29" s="557"/>
      <c r="G29" s="19"/>
      <c r="H29" s="311"/>
      <c r="I29" s="311"/>
      <c r="J29" s="311"/>
    </row>
    <row r="30" spans="1:10" ht="32.25" thickBot="1" x14ac:dyDescent="0.3">
      <c r="A30" s="542" t="s">
        <v>318</v>
      </c>
      <c r="B30" s="395">
        <v>6.8</v>
      </c>
      <c r="C30" s="389" t="s">
        <v>381</v>
      </c>
      <c r="D30" s="147" t="s">
        <v>725</v>
      </c>
      <c r="E30" s="19"/>
      <c r="F30" s="557"/>
      <c r="G30" s="19"/>
      <c r="H30" s="311"/>
      <c r="I30" s="311"/>
      <c r="J30" s="311"/>
    </row>
    <row r="31" spans="1:10" ht="15.75" x14ac:dyDescent="0.25">
      <c r="A31" s="1716" t="s">
        <v>333</v>
      </c>
      <c r="B31" s="1717"/>
      <c r="C31" s="1717"/>
      <c r="D31" s="1718"/>
      <c r="E31" s="19"/>
      <c r="F31" s="560"/>
      <c r="G31" s="19"/>
      <c r="H31" s="311"/>
      <c r="I31" s="311"/>
      <c r="J31" s="311"/>
    </row>
    <row r="32" spans="1:10" ht="31.5" x14ac:dyDescent="0.25">
      <c r="A32" s="542" t="s">
        <v>398</v>
      </c>
      <c r="B32" s="394">
        <v>0.01</v>
      </c>
      <c r="C32" s="149" t="s">
        <v>157</v>
      </c>
      <c r="D32" s="147" t="s">
        <v>839</v>
      </c>
      <c r="E32" s="19"/>
      <c r="F32" s="557"/>
      <c r="G32" s="19"/>
      <c r="H32" s="311"/>
      <c r="I32" s="311"/>
      <c r="J32" s="311"/>
    </row>
    <row r="33" spans="1:10" ht="48" thickBot="1" x14ac:dyDescent="0.3">
      <c r="A33" s="542" t="s">
        <v>318</v>
      </c>
      <c r="B33" s="395">
        <v>11.9</v>
      </c>
      <c r="C33" s="389" t="s">
        <v>381</v>
      </c>
      <c r="D33" s="393" t="s">
        <v>726</v>
      </c>
      <c r="E33" s="19"/>
      <c r="F33" s="557"/>
      <c r="G33" s="19"/>
      <c r="H33" s="311"/>
      <c r="I33" s="311"/>
      <c r="J33" s="311"/>
    </row>
    <row r="34" spans="1:10" ht="15.75" x14ac:dyDescent="0.25">
      <c r="A34" s="1719" t="s">
        <v>458</v>
      </c>
      <c r="B34" s="1720"/>
      <c r="C34" s="1720"/>
      <c r="D34" s="1721"/>
      <c r="E34" s="19"/>
      <c r="F34" s="557"/>
      <c r="G34" s="19"/>
      <c r="H34" s="311"/>
      <c r="I34" s="311"/>
      <c r="J34" s="311"/>
    </row>
    <row r="35" spans="1:10" s="3" customFormat="1" ht="31.5" x14ac:dyDescent="0.25">
      <c r="A35" s="1598" t="s">
        <v>1132</v>
      </c>
      <c r="B35" s="662">
        <v>0.1</v>
      </c>
      <c r="C35" s="661" t="s">
        <v>157</v>
      </c>
      <c r="D35" s="393" t="s">
        <v>974</v>
      </c>
      <c r="E35" s="1728" t="str">
        <f>IF($B35&lt;=$B36, "Het basisbedrag in B35 moet groter zijn dan het correctiebedrag in B36","")</f>
        <v/>
      </c>
      <c r="F35" s="557"/>
      <c r="G35" s="19"/>
      <c r="H35" s="311"/>
      <c r="I35" s="311"/>
      <c r="J35" s="311"/>
    </row>
    <row r="36" spans="1:10" s="3" customFormat="1" ht="47.25" x14ac:dyDescent="0.25">
      <c r="A36" s="542" t="s">
        <v>632</v>
      </c>
      <c r="B36" s="394">
        <v>3.7999999999999999E-2</v>
      </c>
      <c r="C36" s="389" t="s">
        <v>157</v>
      </c>
      <c r="D36" s="406" t="s">
        <v>627</v>
      </c>
      <c r="E36" s="1728"/>
      <c r="F36" s="557"/>
      <c r="G36" s="19"/>
      <c r="H36" s="311"/>
      <c r="I36" s="311"/>
      <c r="J36" s="311"/>
    </row>
    <row r="37" spans="1:10" s="3" customFormat="1" ht="79.5" thickBot="1" x14ac:dyDescent="0.3">
      <c r="A37" s="542" t="s">
        <v>1008</v>
      </c>
      <c r="B37" s="395">
        <v>39.1</v>
      </c>
      <c r="C37" s="389" t="s">
        <v>381</v>
      </c>
      <c r="D37" s="393" t="s">
        <v>976</v>
      </c>
      <c r="E37" s="19"/>
      <c r="F37" s="557"/>
      <c r="G37" s="19"/>
      <c r="H37" s="311"/>
      <c r="I37" s="311"/>
      <c r="J37" s="311"/>
    </row>
    <row r="38" spans="1:10" s="3" customFormat="1" ht="15.75" x14ac:dyDescent="0.25">
      <c r="A38" s="1716" t="s">
        <v>459</v>
      </c>
      <c r="B38" s="1717"/>
      <c r="C38" s="1717"/>
      <c r="D38" s="1718"/>
      <c r="E38" s="19"/>
      <c r="F38" s="557"/>
      <c r="G38" s="19"/>
      <c r="H38" s="311"/>
      <c r="I38" s="311"/>
      <c r="J38" s="311"/>
    </row>
    <row r="39" spans="1:10" s="3" customFormat="1" ht="94.5" x14ac:dyDescent="0.25">
      <c r="A39" s="544" t="s">
        <v>923</v>
      </c>
      <c r="B39" s="394">
        <v>0.06</v>
      </c>
      <c r="C39" s="1037" t="s">
        <v>157</v>
      </c>
      <c r="D39" s="393" t="s">
        <v>983</v>
      </c>
      <c r="E39" s="1728" t="str">
        <f>IF($B39&lt;=$B40, "Het basisbedrag in B39 moet groter zijn dan het correctiebedrag in B40","")</f>
        <v/>
      </c>
      <c r="F39" s="884"/>
      <c r="G39" s="19"/>
      <c r="H39" s="311"/>
      <c r="I39" s="311"/>
      <c r="J39" s="311"/>
    </row>
    <row r="40" spans="1:10" ht="31.5" x14ac:dyDescent="0.25">
      <c r="A40" s="544" t="s">
        <v>633</v>
      </c>
      <c r="B40" s="394">
        <v>1.4999999999999999E-2</v>
      </c>
      <c r="C40" s="1037" t="s">
        <v>157</v>
      </c>
      <c r="D40" s="406" t="s">
        <v>809</v>
      </c>
      <c r="E40" s="1728"/>
      <c r="F40" s="558"/>
      <c r="G40" s="311"/>
      <c r="H40" s="311"/>
      <c r="I40" s="311"/>
      <c r="J40" s="311"/>
    </row>
    <row r="41" spans="1:10" ht="78.75" x14ac:dyDescent="0.25">
      <c r="A41" s="542" t="s">
        <v>1009</v>
      </c>
      <c r="B41" s="395">
        <v>50</v>
      </c>
      <c r="C41" s="149" t="s">
        <v>381</v>
      </c>
      <c r="D41" s="406" t="s">
        <v>984</v>
      </c>
      <c r="E41" s="19"/>
      <c r="F41" s="558"/>
      <c r="G41" s="311"/>
      <c r="H41" s="311"/>
      <c r="I41" s="311"/>
      <c r="J41" s="311"/>
    </row>
    <row r="42" spans="1:10" ht="63" x14ac:dyDescent="0.25">
      <c r="A42" s="544" t="s">
        <v>729</v>
      </c>
      <c r="B42" s="834">
        <v>18.8</v>
      </c>
      <c r="C42" s="389" t="s">
        <v>381</v>
      </c>
      <c r="D42" s="406" t="s">
        <v>982</v>
      </c>
      <c r="E42" s="19"/>
      <c r="F42" s="558"/>
      <c r="G42" s="311"/>
      <c r="H42" s="311"/>
      <c r="I42" s="311"/>
      <c r="J42" s="311"/>
    </row>
    <row r="43" spans="1:10" ht="15.75" x14ac:dyDescent="0.25">
      <c r="A43" s="1724" t="s">
        <v>265</v>
      </c>
      <c r="B43" s="1725"/>
      <c r="C43" s="1725"/>
      <c r="D43" s="1726"/>
      <c r="E43" s="19"/>
      <c r="F43" s="557"/>
      <c r="G43" s="19"/>
      <c r="H43" s="311"/>
      <c r="I43" s="311"/>
      <c r="J43" s="311"/>
    </row>
    <row r="44" spans="1:10" ht="135" customHeight="1" x14ac:dyDescent="0.25">
      <c r="A44" s="543" t="s">
        <v>1010</v>
      </c>
      <c r="B44" s="1130">
        <v>21000</v>
      </c>
      <c r="C44" s="148" t="s">
        <v>985</v>
      </c>
      <c r="D44" s="1132" t="s">
        <v>989</v>
      </c>
      <c r="E44" s="311"/>
      <c r="F44" s="557"/>
      <c r="G44" s="19"/>
      <c r="H44" s="311"/>
      <c r="I44" s="311"/>
      <c r="J44" s="311"/>
    </row>
    <row r="45" spans="1:10" ht="50.25" customHeight="1" x14ac:dyDescent="0.25">
      <c r="A45" s="543" t="s">
        <v>1061</v>
      </c>
      <c r="B45" s="396">
        <v>15000</v>
      </c>
      <c r="C45" s="391" t="s">
        <v>187</v>
      </c>
      <c r="D45" s="393" t="s">
        <v>973</v>
      </c>
      <c r="E45" s="311"/>
      <c r="F45" s="558"/>
      <c r="G45" s="311"/>
      <c r="H45" s="311"/>
      <c r="I45" s="311"/>
      <c r="J45" s="311"/>
    </row>
    <row r="46" spans="1:10" ht="31.5" x14ac:dyDescent="0.25">
      <c r="A46" s="543" t="s">
        <v>1062</v>
      </c>
      <c r="B46" s="305" t="s">
        <v>986</v>
      </c>
      <c r="C46" s="391"/>
      <c r="D46" s="393"/>
      <c r="E46" s="311"/>
      <c r="F46" s="558"/>
      <c r="G46" s="311"/>
      <c r="H46" s="311"/>
      <c r="I46" s="311"/>
      <c r="J46" s="311"/>
    </row>
    <row r="47" spans="1:10" ht="30" x14ac:dyDescent="0.25">
      <c r="A47" s="1723" t="s">
        <v>191</v>
      </c>
      <c r="B47" s="1723"/>
      <c r="C47" s="1723"/>
      <c r="D47" s="1723"/>
      <c r="E47" s="561" t="s">
        <v>415</v>
      </c>
      <c r="F47" s="558"/>
      <c r="G47" s="311"/>
      <c r="H47" s="311"/>
      <c r="I47" s="311"/>
      <c r="J47" s="311"/>
    </row>
    <row r="48" spans="1:10" ht="94.5" x14ac:dyDescent="0.25">
      <c r="A48" s="835" t="s">
        <v>1036</v>
      </c>
      <c r="B48" s="396">
        <v>25</v>
      </c>
      <c r="C48" s="148" t="s">
        <v>995</v>
      </c>
      <c r="D48" s="393" t="s">
        <v>1011</v>
      </c>
      <c r="E48" s="562">
        <f>+('%Hernieuwbaar'!H15+'%Hernieuwbaar'!H16)/3.6/120</f>
        <v>0.19586775162037043</v>
      </c>
      <c r="F48" s="311"/>
      <c r="G48" s="311"/>
      <c r="H48" s="311"/>
      <c r="I48" s="311"/>
      <c r="J48" s="311"/>
    </row>
    <row r="49" spans="1:26" s="3" customFormat="1" ht="94.5" x14ac:dyDescent="0.25">
      <c r="A49" s="1206" t="s">
        <v>990</v>
      </c>
      <c r="B49" s="506">
        <v>4000</v>
      </c>
      <c r="C49" s="1094" t="s">
        <v>996</v>
      </c>
      <c r="D49" s="393" t="s">
        <v>690</v>
      </c>
      <c r="E49" s="563"/>
      <c r="F49" s="557"/>
      <c r="G49" s="564"/>
      <c r="H49" s="563"/>
      <c r="I49" s="563"/>
      <c r="J49" s="567"/>
      <c r="K49" s="350"/>
      <c r="L49" s="125"/>
    </row>
    <row r="50" spans="1:26" s="3" customFormat="1" ht="78.75" x14ac:dyDescent="0.25">
      <c r="A50" s="541" t="s">
        <v>363</v>
      </c>
      <c r="B50" s="506">
        <v>2500</v>
      </c>
      <c r="C50" s="1094" t="s">
        <v>996</v>
      </c>
      <c r="D50" s="393" t="s">
        <v>366</v>
      </c>
      <c r="E50" s="563"/>
      <c r="F50" s="557"/>
      <c r="G50" s="564"/>
      <c r="H50" s="563"/>
      <c r="I50" s="563"/>
      <c r="J50" s="567"/>
      <c r="K50" s="350"/>
      <c r="L50" s="125"/>
    </row>
    <row r="51" spans="1:26" s="3" customFormat="1" ht="70.5" customHeight="1" x14ac:dyDescent="0.25">
      <c r="A51" s="836" t="s">
        <v>1082</v>
      </c>
      <c r="B51" s="820">
        <v>1.4999999999999999E-2</v>
      </c>
      <c r="C51" s="392"/>
      <c r="D51" s="393" t="s">
        <v>1083</v>
      </c>
      <c r="E51" s="1298"/>
      <c r="F51" s="557"/>
      <c r="G51" s="564"/>
      <c r="H51" s="563"/>
      <c r="I51" s="563"/>
      <c r="J51" s="567"/>
      <c r="K51" s="350"/>
      <c r="L51" s="125"/>
    </row>
    <row r="52" spans="1:26" ht="110.25" x14ac:dyDescent="0.25">
      <c r="A52" s="835" t="s">
        <v>1012</v>
      </c>
      <c r="B52" s="396">
        <v>624</v>
      </c>
      <c r="C52" s="1094" t="s">
        <v>996</v>
      </c>
      <c r="D52" s="393" t="s">
        <v>260</v>
      </c>
      <c r="E52" s="311"/>
      <c r="F52" s="333"/>
      <c r="G52" s="311"/>
      <c r="H52" s="311"/>
      <c r="I52" s="311"/>
      <c r="J52" s="311"/>
    </row>
    <row r="53" spans="1:26" ht="45" x14ac:dyDescent="0.25">
      <c r="A53" s="1620" t="s">
        <v>997</v>
      </c>
      <c r="B53" s="1077">
        <v>0.7</v>
      </c>
      <c r="C53" s="626"/>
      <c r="D53" s="1091" t="s">
        <v>1151</v>
      </c>
      <c r="E53" s="311"/>
      <c r="F53" s="333"/>
      <c r="G53" s="311"/>
      <c r="H53" s="311"/>
      <c r="I53" s="311"/>
      <c r="J53" s="311"/>
    </row>
    <row r="54" spans="1:26" ht="47.25" x14ac:dyDescent="0.25">
      <c r="A54" s="543" t="s">
        <v>1053</v>
      </c>
      <c r="B54" s="506">
        <v>150</v>
      </c>
      <c r="C54" s="149" t="s">
        <v>186</v>
      </c>
      <c r="D54" s="72"/>
      <c r="E54" s="311"/>
      <c r="F54" s="333"/>
      <c r="G54" s="311"/>
      <c r="H54" s="311"/>
      <c r="I54" s="311"/>
      <c r="J54" s="311"/>
    </row>
    <row r="55" spans="1:26" ht="15.75" x14ac:dyDescent="0.25">
      <c r="A55" s="1593" t="s">
        <v>1064</v>
      </c>
      <c r="B55" s="506">
        <v>100</v>
      </c>
      <c r="C55" s="149" t="s">
        <v>186</v>
      </c>
      <c r="D55" s="393" t="s">
        <v>1063</v>
      </c>
      <c r="E55" s="311"/>
      <c r="F55" s="333"/>
      <c r="G55" s="311"/>
      <c r="H55" s="311"/>
      <c r="I55" s="311"/>
      <c r="J55" s="311"/>
    </row>
    <row r="56" spans="1:26" ht="94.5" x14ac:dyDescent="0.25">
      <c r="A56" s="1593" t="s">
        <v>1081</v>
      </c>
      <c r="B56" s="1319">
        <v>1</v>
      </c>
      <c r="C56" s="390" t="s">
        <v>1096</v>
      </c>
      <c r="D56" s="393" t="s">
        <v>1129</v>
      </c>
      <c r="E56" s="311"/>
      <c r="F56" s="333"/>
      <c r="G56" s="311"/>
      <c r="H56" s="311"/>
      <c r="I56" s="311"/>
      <c r="J56" s="311"/>
    </row>
    <row r="57" spans="1:26" ht="15.75" x14ac:dyDescent="0.25">
      <c r="A57" s="1723" t="s">
        <v>188</v>
      </c>
      <c r="B57" s="1723"/>
      <c r="C57" s="1723"/>
      <c r="D57" s="1723"/>
      <c r="E57" s="19"/>
      <c r="F57" s="565"/>
      <c r="G57" s="19"/>
      <c r="H57" s="311"/>
      <c r="I57" s="311"/>
      <c r="J57" s="311"/>
    </row>
    <row r="58" spans="1:26" ht="15.75" x14ac:dyDescent="0.25">
      <c r="A58" s="148" t="s">
        <v>159</v>
      </c>
      <c r="B58" s="518">
        <v>3500</v>
      </c>
      <c r="C58" s="149" t="s">
        <v>170</v>
      </c>
      <c r="D58" s="515" t="s">
        <v>179</v>
      </c>
      <c r="E58" s="311"/>
      <c r="F58" s="333"/>
      <c r="G58" s="311"/>
      <c r="H58" s="311"/>
      <c r="I58" s="311"/>
      <c r="J58" s="311"/>
    </row>
    <row r="59" spans="1:26" ht="63" x14ac:dyDescent="0.25">
      <c r="A59" s="148" t="s">
        <v>160</v>
      </c>
      <c r="B59" s="519">
        <v>7.6</v>
      </c>
      <c r="C59" s="148" t="s">
        <v>49</v>
      </c>
      <c r="D59" s="1092" t="s">
        <v>283</v>
      </c>
      <c r="E59" s="311"/>
      <c r="F59" s="333"/>
      <c r="G59" s="311"/>
      <c r="H59" s="311"/>
      <c r="I59" s="311"/>
      <c r="J59" s="311"/>
    </row>
    <row r="60" spans="1:26" ht="31.5" x14ac:dyDescent="0.25">
      <c r="A60" s="148" t="s">
        <v>360</v>
      </c>
      <c r="B60" s="519">
        <v>0.5</v>
      </c>
      <c r="C60" s="149" t="s">
        <v>264</v>
      </c>
      <c r="D60" s="1093"/>
      <c r="E60" s="538"/>
      <c r="F60" s="333"/>
      <c r="G60" s="311"/>
      <c r="H60" s="311"/>
      <c r="I60" s="311"/>
      <c r="J60" s="311"/>
    </row>
    <row r="61" spans="1:26" ht="75" x14ac:dyDescent="0.25">
      <c r="A61" s="1094" t="s">
        <v>837</v>
      </c>
      <c r="B61" s="1095">
        <v>2020</v>
      </c>
      <c r="C61" s="149" t="s">
        <v>381</v>
      </c>
      <c r="D61" s="1096" t="s">
        <v>735</v>
      </c>
      <c r="E61" s="311"/>
      <c r="F61" s="1722"/>
      <c r="G61" s="1722"/>
      <c r="H61" s="1722"/>
      <c r="I61" s="1722"/>
      <c r="J61" s="1722"/>
    </row>
    <row r="62" spans="1:26" x14ac:dyDescent="0.25">
      <c r="A62" s="309"/>
      <c r="B62" s="311"/>
      <c r="C62" s="311"/>
      <c r="D62" s="312"/>
      <c r="E62" s="311"/>
      <c r="F62" s="311"/>
      <c r="G62" s="311"/>
      <c r="H62" s="311"/>
      <c r="I62" s="311"/>
      <c r="J62" s="311"/>
    </row>
    <row r="63" spans="1:26" x14ac:dyDescent="0.25">
      <c r="A63" s="309"/>
      <c r="B63" s="311"/>
      <c r="C63" s="311"/>
      <c r="D63" s="312"/>
      <c r="E63" s="311"/>
      <c r="F63" s="311"/>
      <c r="G63" s="311"/>
      <c r="H63" s="311"/>
      <c r="I63" s="311"/>
      <c r="J63" s="311"/>
    </row>
    <row r="64" spans="1:26" ht="17.25" x14ac:dyDescent="0.35">
      <c r="A64" s="1727" t="s">
        <v>441</v>
      </c>
      <c r="B64" s="1727"/>
      <c r="C64" s="1727"/>
      <c r="D64" s="1727"/>
      <c r="E64" s="555"/>
      <c r="F64" s="555"/>
      <c r="G64" s="555"/>
      <c r="H64" s="555"/>
      <c r="I64" s="555"/>
      <c r="J64" s="567"/>
      <c r="K64" s="350"/>
      <c r="L64" s="122"/>
      <c r="M64" s="122"/>
      <c r="N64" s="122"/>
      <c r="O64" s="3"/>
      <c r="P64" s="3"/>
      <c r="Z64" s="2"/>
    </row>
    <row r="65" spans="1:26" ht="66" x14ac:dyDescent="0.25">
      <c r="A65" s="645" t="s">
        <v>777</v>
      </c>
      <c r="B65" s="513">
        <v>526</v>
      </c>
      <c r="C65" s="515" t="s">
        <v>443</v>
      </c>
      <c r="D65" s="390" t="s">
        <v>764</v>
      </c>
      <c r="E65" s="122"/>
      <c r="F65" s="3"/>
      <c r="G65" s="122"/>
      <c r="H65" s="122"/>
      <c r="I65" s="254"/>
      <c r="J65" s="254"/>
      <c r="K65" s="122"/>
      <c r="L65" s="122"/>
      <c r="M65" s="122"/>
      <c r="N65" s="54"/>
      <c r="O65" s="3"/>
      <c r="P65" s="3"/>
      <c r="Z65" s="2"/>
    </row>
    <row r="66" spans="1:26" ht="18.75" x14ac:dyDescent="0.25">
      <c r="A66" s="645" t="s">
        <v>769</v>
      </c>
      <c r="B66" s="513">
        <v>0</v>
      </c>
      <c r="C66" s="515" t="s">
        <v>443</v>
      </c>
      <c r="D66" s="646" t="s">
        <v>392</v>
      </c>
      <c r="E66" s="555"/>
      <c r="F66" s="311"/>
      <c r="G66" s="555"/>
      <c r="H66" s="555"/>
      <c r="I66" s="567"/>
      <c r="J66" s="567"/>
      <c r="K66" s="122"/>
      <c r="L66" s="122"/>
      <c r="M66" s="122"/>
      <c r="N66" s="54"/>
      <c r="O66" s="3"/>
      <c r="P66" s="3"/>
      <c r="Z66" s="2"/>
    </row>
    <row r="67" spans="1:26" ht="31.5" x14ac:dyDescent="0.25">
      <c r="A67" s="645" t="s">
        <v>766</v>
      </c>
      <c r="B67" s="513">
        <v>0</v>
      </c>
      <c r="C67" s="515" t="s">
        <v>443</v>
      </c>
      <c r="D67" s="390" t="s">
        <v>393</v>
      </c>
      <c r="E67" s="555"/>
      <c r="F67" s="311"/>
      <c r="G67" s="555"/>
      <c r="H67" s="555"/>
      <c r="I67" s="567"/>
      <c r="J67" s="567"/>
      <c r="K67" s="122"/>
      <c r="L67" s="122"/>
      <c r="M67" s="122"/>
      <c r="N67" s="54"/>
      <c r="O67" s="3"/>
      <c r="P67" s="3"/>
      <c r="Z67" s="2"/>
    </row>
    <row r="68" spans="1:26" ht="18.75" x14ac:dyDescent="0.25">
      <c r="A68" s="645" t="s">
        <v>767</v>
      </c>
      <c r="B68" s="513">
        <v>0</v>
      </c>
      <c r="C68" s="515" t="s">
        <v>443</v>
      </c>
      <c r="D68" s="149" t="s">
        <v>237</v>
      </c>
      <c r="E68" s="555"/>
      <c r="F68" s="311"/>
      <c r="G68" s="555"/>
      <c r="H68" s="555"/>
      <c r="I68" s="567"/>
      <c r="J68" s="567"/>
      <c r="K68" s="122"/>
      <c r="L68" s="122"/>
      <c r="M68" s="122"/>
      <c r="N68" s="54"/>
      <c r="O68" s="3"/>
      <c r="P68" s="3"/>
      <c r="Z68" s="2"/>
    </row>
    <row r="69" spans="1:26" ht="31.5" x14ac:dyDescent="0.25">
      <c r="A69" s="645" t="s">
        <v>768</v>
      </c>
      <c r="B69" s="513">
        <v>0</v>
      </c>
      <c r="C69" s="515" t="s">
        <v>443</v>
      </c>
      <c r="D69" s="390" t="s">
        <v>394</v>
      </c>
      <c r="E69" s="555"/>
      <c r="F69" s="311"/>
      <c r="G69" s="555"/>
      <c r="H69" s="555"/>
      <c r="I69" s="567"/>
      <c r="J69" s="567"/>
      <c r="K69" s="122"/>
      <c r="L69" s="122"/>
      <c r="M69" s="122"/>
      <c r="N69" s="54"/>
      <c r="O69" s="3"/>
      <c r="P69" s="3"/>
      <c r="Z69" s="2"/>
    </row>
    <row r="70" spans="1:26" ht="18.75" x14ac:dyDescent="0.25">
      <c r="A70" s="645" t="s">
        <v>772</v>
      </c>
      <c r="B70" s="513">
        <v>189</v>
      </c>
      <c r="C70" s="515" t="s">
        <v>443</v>
      </c>
      <c r="D70" s="646" t="s">
        <v>431</v>
      </c>
      <c r="E70" s="555"/>
      <c r="F70" s="311"/>
      <c r="G70" s="555"/>
      <c r="H70" s="555"/>
      <c r="I70" s="567"/>
      <c r="J70" s="567"/>
      <c r="K70" s="122"/>
      <c r="L70" s="122"/>
      <c r="M70" s="122"/>
      <c r="N70" s="54"/>
      <c r="O70" s="3"/>
      <c r="P70" s="3"/>
      <c r="Z70" s="2"/>
    </row>
    <row r="71" spans="1:26" s="17" customFormat="1" ht="17.25" x14ac:dyDescent="0.35">
      <c r="A71" s="1723" t="s">
        <v>810</v>
      </c>
      <c r="B71" s="1723"/>
      <c r="C71" s="1723"/>
      <c r="D71" s="1723"/>
      <c r="E71" s="555"/>
      <c r="F71" s="19"/>
      <c r="G71" s="555"/>
      <c r="H71" s="555"/>
      <c r="I71" s="567"/>
      <c r="J71" s="567"/>
      <c r="K71" s="122"/>
      <c r="L71" s="122"/>
      <c r="M71" s="122"/>
      <c r="N71" s="62"/>
      <c r="Z71" s="66"/>
    </row>
    <row r="72" spans="1:26" ht="47.25" x14ac:dyDescent="0.25">
      <c r="A72" s="644" t="s">
        <v>778</v>
      </c>
      <c r="B72" s="513">
        <f>1.884/B73*3.6/0.95*10^3</f>
        <v>202.99597443993832</v>
      </c>
      <c r="C72" s="515" t="s">
        <v>443</v>
      </c>
      <c r="D72" s="148" t="s">
        <v>782</v>
      </c>
      <c r="E72" s="555"/>
      <c r="F72" s="311"/>
      <c r="G72" s="311"/>
      <c r="H72" s="311"/>
      <c r="I72" s="311"/>
      <c r="J72" s="311"/>
      <c r="K72" s="122"/>
      <c r="L72" s="122"/>
      <c r="M72" s="122"/>
      <c r="N72" s="54"/>
      <c r="O72" s="3"/>
      <c r="P72" s="3"/>
      <c r="Q72" s="3"/>
      <c r="R72" s="3"/>
      <c r="S72" s="3"/>
      <c r="T72" s="3"/>
      <c r="U72" s="3"/>
      <c r="V72" s="3"/>
      <c r="W72" s="3"/>
      <c r="X72" s="3"/>
      <c r="Y72" s="3"/>
      <c r="Z72" s="2"/>
    </row>
    <row r="73" spans="1:26" ht="15.75" x14ac:dyDescent="0.25">
      <c r="A73" s="545" t="s">
        <v>313</v>
      </c>
      <c r="B73" s="149">
        <v>35.17</v>
      </c>
      <c r="C73" s="258" t="s">
        <v>314</v>
      </c>
      <c r="D73" s="258"/>
      <c r="E73" s="555"/>
      <c r="F73" s="311"/>
      <c r="G73" s="311"/>
      <c r="H73" s="311"/>
      <c r="I73" s="311"/>
      <c r="J73" s="311"/>
      <c r="K73" s="122"/>
      <c r="L73" s="122"/>
      <c r="M73" s="122"/>
      <c r="N73" s="54"/>
      <c r="O73" s="3"/>
      <c r="P73" s="3"/>
      <c r="Q73" s="3"/>
      <c r="R73" s="3"/>
      <c r="S73" s="3"/>
      <c r="T73" s="3"/>
      <c r="U73" s="3"/>
      <c r="V73" s="3"/>
      <c r="W73" s="3"/>
      <c r="X73" s="3"/>
      <c r="Y73" s="3"/>
      <c r="Z73" s="2"/>
    </row>
    <row r="74" spans="1:26" ht="18.75" x14ac:dyDescent="0.25">
      <c r="A74" s="644" t="s">
        <v>172</v>
      </c>
      <c r="B74" s="513">
        <v>0</v>
      </c>
      <c r="C74" s="515" t="s">
        <v>443</v>
      </c>
      <c r="D74" s="149" t="s">
        <v>775</v>
      </c>
      <c r="E74" s="555"/>
      <c r="F74" s="311"/>
      <c r="G74" s="311"/>
      <c r="H74" s="311"/>
      <c r="I74" s="311"/>
      <c r="J74" s="311"/>
      <c r="K74" s="122"/>
      <c r="L74" s="122"/>
      <c r="M74" s="122"/>
      <c r="N74" s="54"/>
      <c r="O74" s="3"/>
      <c r="P74" s="3"/>
      <c r="Q74" s="3"/>
      <c r="R74" s="3"/>
      <c r="S74" s="3"/>
      <c r="T74" s="3"/>
      <c r="U74" s="3"/>
      <c r="V74" s="3"/>
      <c r="W74" s="3"/>
      <c r="X74" s="3"/>
      <c r="Y74" s="3"/>
      <c r="Z74" s="2"/>
    </row>
    <row r="75" spans="1:26" ht="31.5" x14ac:dyDescent="0.25">
      <c r="A75" s="644" t="s">
        <v>41</v>
      </c>
      <c r="B75" s="513">
        <f>25.05*3.6</f>
        <v>90.18</v>
      </c>
      <c r="C75" s="515" t="s">
        <v>443</v>
      </c>
      <c r="D75" s="148" t="s">
        <v>773</v>
      </c>
      <c r="E75" s="555"/>
      <c r="F75" s="311"/>
      <c r="G75" s="311"/>
      <c r="H75" s="311"/>
      <c r="I75" s="311"/>
      <c r="J75" s="311"/>
      <c r="K75" s="122"/>
      <c r="L75" s="122"/>
      <c r="M75" s="122"/>
      <c r="N75" s="54"/>
      <c r="O75" s="3"/>
      <c r="P75" s="3"/>
      <c r="Q75" s="3"/>
      <c r="R75" s="3"/>
      <c r="S75" s="3"/>
      <c r="T75" s="3"/>
      <c r="U75" s="3"/>
      <c r="V75" s="3"/>
      <c r="W75" s="3"/>
      <c r="X75" s="3"/>
      <c r="Y75" s="3"/>
      <c r="Z75" s="2"/>
    </row>
    <row r="76" spans="1:26" ht="47.25" x14ac:dyDescent="0.25">
      <c r="A76" s="542" t="s">
        <v>780</v>
      </c>
      <c r="B76" s="513">
        <f>25*3.6</f>
        <v>90</v>
      </c>
      <c r="C76" s="515" t="s">
        <v>443</v>
      </c>
      <c r="D76" s="148" t="s">
        <v>776</v>
      </c>
      <c r="E76" s="555"/>
      <c r="F76" s="311"/>
      <c r="G76" s="311"/>
      <c r="H76" s="311"/>
      <c r="I76" s="311"/>
      <c r="J76" s="311"/>
      <c r="K76" s="122"/>
      <c r="L76" s="122"/>
      <c r="M76" s="122"/>
      <c r="N76" s="54"/>
      <c r="O76" s="3"/>
      <c r="P76" s="3"/>
      <c r="Q76" s="3"/>
      <c r="R76" s="3"/>
      <c r="S76" s="3"/>
      <c r="T76" s="3"/>
      <c r="U76" s="3"/>
      <c r="V76" s="3"/>
      <c r="W76" s="3"/>
      <c r="X76" s="3"/>
      <c r="Y76" s="3"/>
      <c r="Z76" s="2"/>
    </row>
    <row r="77" spans="1:26" ht="31.5" x14ac:dyDescent="0.25">
      <c r="A77" s="644" t="s">
        <v>660</v>
      </c>
      <c r="B77" s="513">
        <f>+B65/5</f>
        <v>105.2</v>
      </c>
      <c r="C77" s="515" t="s">
        <v>443</v>
      </c>
      <c r="D77" s="148" t="s">
        <v>811</v>
      </c>
      <c r="E77" s="555"/>
      <c r="F77" s="311"/>
      <c r="G77" s="311"/>
      <c r="H77" s="311"/>
      <c r="I77" s="311"/>
      <c r="J77" s="311"/>
      <c r="K77" s="122"/>
      <c r="L77" s="122"/>
      <c r="M77" s="122"/>
      <c r="N77" s="54"/>
      <c r="O77" s="3"/>
      <c r="P77" s="3"/>
      <c r="Q77" s="3"/>
      <c r="R77" s="3"/>
      <c r="S77" s="3"/>
      <c r="T77" s="3"/>
      <c r="U77" s="3"/>
      <c r="V77" s="3"/>
      <c r="W77" s="3"/>
      <c r="X77" s="3"/>
      <c r="Y77" s="3"/>
      <c r="Z77" s="2"/>
    </row>
    <row r="78" spans="1:26" ht="47.25" x14ac:dyDescent="0.25">
      <c r="A78" s="644" t="s">
        <v>774</v>
      </c>
      <c r="B78" s="513">
        <v>20</v>
      </c>
      <c r="C78" s="515" t="s">
        <v>443</v>
      </c>
      <c r="D78" s="148" t="s">
        <v>781</v>
      </c>
      <c r="E78" s="555"/>
      <c r="F78" s="311"/>
      <c r="G78" s="311"/>
      <c r="H78" s="311"/>
      <c r="I78" s="311"/>
      <c r="J78" s="311"/>
      <c r="K78" s="122"/>
      <c r="L78" s="122"/>
      <c r="M78" s="122"/>
      <c r="N78" s="54"/>
      <c r="O78" s="3"/>
      <c r="P78" s="3"/>
      <c r="Q78" s="3"/>
      <c r="R78" s="3"/>
      <c r="S78" s="3"/>
      <c r="T78" s="3"/>
      <c r="U78" s="3"/>
      <c r="V78" s="3"/>
      <c r="W78" s="3"/>
      <c r="X78" s="3"/>
      <c r="Y78" s="3"/>
      <c r="Z78" s="2"/>
    </row>
    <row r="79" spans="1:26" s="547" customFormat="1" ht="19.5" x14ac:dyDescent="0.35">
      <c r="A79" s="1727" t="s">
        <v>442</v>
      </c>
      <c r="B79" s="1727"/>
      <c r="C79" s="1727"/>
      <c r="D79" s="1727"/>
      <c r="E79" s="556"/>
      <c r="F79" s="568"/>
      <c r="G79" s="569"/>
      <c r="H79" s="569"/>
      <c r="I79" s="569"/>
      <c r="J79" s="569"/>
      <c r="K79" s="546"/>
      <c r="L79" s="546"/>
      <c r="M79" s="546"/>
      <c r="Q79" s="548"/>
      <c r="R79" s="548"/>
      <c r="S79" s="548"/>
      <c r="T79" s="548"/>
      <c r="Z79" s="549"/>
    </row>
    <row r="80" spans="1:26" s="17" customFormat="1" ht="18.75" x14ac:dyDescent="0.25">
      <c r="A80" s="539" t="s">
        <v>427</v>
      </c>
      <c r="B80" s="509">
        <f>2.88/32.2*3.6*1000</f>
        <v>321.98757763975158</v>
      </c>
      <c r="C80" s="515" t="s">
        <v>443</v>
      </c>
      <c r="D80" s="508" t="s">
        <v>392</v>
      </c>
      <c r="E80" s="555"/>
      <c r="F80" s="570"/>
      <c r="G80" s="570"/>
      <c r="H80" s="570"/>
      <c r="I80" s="570"/>
      <c r="J80" s="570"/>
      <c r="K80" s="122"/>
      <c r="L80" s="122"/>
      <c r="M80" s="122"/>
      <c r="N80" s="62"/>
      <c r="Q80" s="3"/>
      <c r="R80" s="3"/>
      <c r="S80" s="3"/>
      <c r="T80" s="3"/>
      <c r="Z80" s="66"/>
    </row>
    <row r="81" spans="1:26" s="17" customFormat="1" ht="18.75" x14ac:dyDescent="0.25">
      <c r="A81" s="539" t="s">
        <v>428</v>
      </c>
      <c r="B81" s="509">
        <f>3.24/35.9*3.6*1000</f>
        <v>324.90250696378837</v>
      </c>
      <c r="C81" s="515" t="s">
        <v>443</v>
      </c>
      <c r="D81" s="508" t="s">
        <v>392</v>
      </c>
      <c r="E81" s="555"/>
      <c r="F81" s="570"/>
      <c r="G81" s="570"/>
      <c r="H81" s="570"/>
      <c r="I81" s="570"/>
      <c r="J81" s="570"/>
      <c r="K81" s="122"/>
      <c r="L81" s="122"/>
      <c r="M81" s="122"/>
      <c r="N81" s="62"/>
      <c r="Q81" s="3"/>
      <c r="R81" s="3"/>
      <c r="S81" s="3"/>
      <c r="T81" s="3"/>
      <c r="Z81" s="66"/>
    </row>
    <row r="82" spans="1:26" s="17" customFormat="1" ht="18.75" x14ac:dyDescent="0.25">
      <c r="A82" s="540" t="s">
        <v>779</v>
      </c>
      <c r="B82" s="510">
        <f>+(Refs!E39*B80+Refs!E40*B81)</f>
        <v>323.77019738512001</v>
      </c>
      <c r="C82" s="515" t="s">
        <v>443</v>
      </c>
      <c r="D82" s="521" t="s">
        <v>432</v>
      </c>
      <c r="E82" s="555"/>
      <c r="F82" s="570"/>
      <c r="G82" s="570"/>
      <c r="H82" s="570"/>
      <c r="I82" s="570"/>
      <c r="J82" s="570"/>
      <c r="K82" s="122"/>
      <c r="L82" s="122"/>
      <c r="M82" s="122"/>
      <c r="N82" s="62"/>
      <c r="Q82" s="3"/>
      <c r="R82" s="3"/>
      <c r="S82" s="3"/>
      <c r="T82" s="3"/>
      <c r="Z82" s="66"/>
    </row>
    <row r="83" spans="1:26" ht="47.25" x14ac:dyDescent="0.25">
      <c r="A83" s="516" t="s">
        <v>430</v>
      </c>
      <c r="B83" s="620">
        <f>+(39*+Refs!E39+43*+Refs!E40)</f>
        <v>41.446192750772695</v>
      </c>
      <c r="C83" s="517" t="s">
        <v>444</v>
      </c>
      <c r="D83" s="522" t="s">
        <v>656</v>
      </c>
      <c r="E83" s="796"/>
      <c r="F83" s="570"/>
      <c r="G83" s="570"/>
      <c r="H83" s="570"/>
      <c r="I83" s="570"/>
      <c r="J83" s="570"/>
      <c r="K83" s="122"/>
      <c r="L83" s="122"/>
      <c r="M83" s="122"/>
      <c r="N83" s="54"/>
      <c r="O83" s="3"/>
      <c r="P83" s="3"/>
      <c r="Q83" s="3"/>
      <c r="R83" s="3"/>
      <c r="S83" s="3"/>
      <c r="T83" s="3"/>
      <c r="U83" s="3"/>
      <c r="V83" s="3"/>
      <c r="W83" s="3"/>
      <c r="X83" s="3"/>
      <c r="Y83" s="3"/>
      <c r="Z83" s="2"/>
    </row>
    <row r="84" spans="1:26" ht="31.5" x14ac:dyDescent="0.25">
      <c r="A84" s="516" t="s">
        <v>430</v>
      </c>
      <c r="B84" s="621">
        <f>+B83*3.6</f>
        <v>149.20629390278171</v>
      </c>
      <c r="C84" s="515" t="s">
        <v>443</v>
      </c>
      <c r="D84" s="619" t="s">
        <v>403</v>
      </c>
      <c r="E84" s="555"/>
      <c r="F84" s="570"/>
      <c r="G84" s="570"/>
      <c r="H84" s="570"/>
      <c r="I84" s="570"/>
      <c r="J84" s="570"/>
      <c r="K84" s="122"/>
      <c r="L84" s="122"/>
      <c r="M84" s="122"/>
      <c r="N84" s="54"/>
      <c r="O84" s="3"/>
      <c r="P84" s="3"/>
      <c r="Q84" s="3"/>
      <c r="R84" s="3"/>
      <c r="S84" s="3"/>
      <c r="T84" s="3"/>
      <c r="U84" s="3"/>
      <c r="V84" s="3"/>
      <c r="W84" s="3"/>
      <c r="X84" s="3"/>
      <c r="Y84" s="3"/>
      <c r="Z84" s="2"/>
    </row>
    <row r="85" spans="1:26" s="17" customFormat="1" ht="15.75" x14ac:dyDescent="0.25">
      <c r="A85" s="988"/>
      <c r="B85" s="989"/>
      <c r="C85" s="990"/>
      <c r="D85" s="991"/>
      <c r="E85" s="122"/>
      <c r="F85" s="992"/>
      <c r="G85" s="992"/>
      <c r="H85" s="992"/>
      <c r="I85" s="992"/>
      <c r="J85" s="992"/>
      <c r="K85" s="122"/>
      <c r="L85" s="122"/>
      <c r="M85" s="122"/>
      <c r="N85" s="62"/>
      <c r="Z85" s="66"/>
    </row>
    <row r="86" spans="1:26" s="17" customFormat="1" ht="15.75" x14ac:dyDescent="0.25">
      <c r="A86" s="988"/>
      <c r="B86" s="989"/>
      <c r="C86" s="990"/>
      <c r="D86" s="991"/>
      <c r="E86" s="122"/>
      <c r="F86" s="992"/>
      <c r="G86" s="992"/>
      <c r="H86" s="992"/>
      <c r="I86" s="992"/>
      <c r="J86" s="992"/>
      <c r="K86" s="122"/>
      <c r="L86" s="122"/>
      <c r="M86" s="122"/>
      <c r="N86" s="62"/>
      <c r="Z86" s="66"/>
    </row>
    <row r="87" spans="1:26" ht="18.75" x14ac:dyDescent="0.25">
      <c r="A87" s="1715" t="s">
        <v>591</v>
      </c>
      <c r="B87" s="1715"/>
      <c r="C87" s="1715"/>
      <c r="D87" s="1715"/>
      <c r="E87" s="122"/>
      <c r="F87" s="570"/>
      <c r="G87" s="570"/>
      <c r="H87" s="570"/>
      <c r="I87" s="570"/>
      <c r="J87" s="570"/>
    </row>
    <row r="88" spans="1:26" ht="193.5" customHeight="1" x14ac:dyDescent="0.25">
      <c r="A88" s="666" t="s">
        <v>592</v>
      </c>
      <c r="B88" s="850">
        <f>Resultaatgrafiek!Q66</f>
        <v>3426.1300748093686</v>
      </c>
      <c r="C88" s="517" t="s">
        <v>404</v>
      </c>
      <c r="D88" s="603" t="str">
        <f>ROUND(Resultaatgrafiek!Q66,0)&amp;" mln€/%  Het bedrag is gebaseerd op de kosten per procent duurzaam in 2017, gewogen naar geschatte aandeel van elke technologie in de toekomst. "</f>
        <v xml:space="preserve">3426 mln€/%  Het bedrag is gebaseerd op de kosten per procent duurzaam in 2017, gewogen naar geschatte aandeel van elke technologie in de toekomst. </v>
      </c>
      <c r="E88" s="122"/>
      <c r="F88" s="571"/>
      <c r="G88" s="571"/>
      <c r="H88" s="572"/>
      <c r="I88" s="311"/>
      <c r="J88" s="311"/>
    </row>
    <row r="89" spans="1:26" ht="54" customHeight="1" x14ac:dyDescent="0.25">
      <c r="A89" s="666" t="s">
        <v>1137</v>
      </c>
      <c r="B89" s="1603">
        <v>0</v>
      </c>
      <c r="C89" s="517"/>
      <c r="D89" s="603" t="s">
        <v>1140</v>
      </c>
      <c r="E89" s="311"/>
      <c r="F89" s="571"/>
      <c r="G89" s="571"/>
      <c r="H89" s="572"/>
      <c r="I89" s="311"/>
      <c r="J89" s="311"/>
    </row>
    <row r="90" spans="1:26" ht="15.75" x14ac:dyDescent="0.25">
      <c r="A90" s="666" t="s">
        <v>595</v>
      </c>
      <c r="B90" s="788">
        <v>0.27</v>
      </c>
      <c r="C90" s="517"/>
      <c r="D90" s="603" t="s">
        <v>1138</v>
      </c>
      <c r="E90" s="311"/>
      <c r="F90" s="571"/>
      <c r="G90" s="571"/>
      <c r="H90" s="572"/>
      <c r="I90" s="311"/>
      <c r="J90" s="311"/>
    </row>
    <row r="91" spans="1:26" ht="15.75" x14ac:dyDescent="0.25">
      <c r="A91" s="666" t="s">
        <v>593</v>
      </c>
      <c r="B91" s="788">
        <v>0.5</v>
      </c>
      <c r="C91" s="517"/>
      <c r="D91" s="603"/>
      <c r="E91" s="311"/>
      <c r="F91" s="571"/>
      <c r="G91" s="571"/>
      <c r="H91" s="572"/>
      <c r="I91" s="311"/>
      <c r="J91" s="311"/>
    </row>
    <row r="92" spans="1:26" ht="15.75" x14ac:dyDescent="0.25">
      <c r="A92" s="666" t="s">
        <v>594</v>
      </c>
      <c r="B92" s="788">
        <v>0.85</v>
      </c>
      <c r="C92" s="517"/>
      <c r="D92" s="603"/>
      <c r="E92" s="311"/>
      <c r="F92" s="571"/>
      <c r="G92" s="571"/>
      <c r="H92" s="572"/>
      <c r="I92" s="311"/>
      <c r="J92" s="311"/>
    </row>
    <row r="93" spans="1:26" s="311" customFormat="1" x14ac:dyDescent="0.25">
      <c r="A93" s="309"/>
      <c r="D93" s="312"/>
    </row>
    <row r="94" spans="1:26" ht="21" x14ac:dyDescent="0.35">
      <c r="A94" s="553"/>
      <c r="B94" s="310"/>
      <c r="C94" s="310"/>
      <c r="D94" s="554"/>
      <c r="E94" s="311"/>
      <c r="F94" s="571"/>
      <c r="G94" s="571"/>
      <c r="H94" s="572"/>
      <c r="I94" s="311"/>
      <c r="J94" s="311"/>
    </row>
    <row r="95" spans="1:26" ht="21" x14ac:dyDescent="0.25">
      <c r="A95" s="27" t="s">
        <v>544</v>
      </c>
      <c r="B95" s="151"/>
      <c r="C95" s="151"/>
      <c r="D95" s="152"/>
      <c r="E95" s="311"/>
      <c r="F95" s="311"/>
      <c r="G95" s="311"/>
      <c r="H95" s="311"/>
      <c r="I95" s="311"/>
      <c r="J95" s="311"/>
    </row>
    <row r="96" spans="1:26" s="3" customFormat="1" ht="15.75" x14ac:dyDescent="0.25">
      <c r="A96" s="907"/>
      <c r="B96" s="216"/>
      <c r="C96" s="216"/>
      <c r="D96" s="908"/>
      <c r="E96" s="311"/>
      <c r="F96" s="311"/>
      <c r="G96" s="311"/>
      <c r="H96" s="311"/>
      <c r="I96" s="311"/>
      <c r="J96" s="311"/>
    </row>
    <row r="97" spans="1:10" s="3" customFormat="1" ht="15.75" x14ac:dyDescent="0.25">
      <c r="A97" s="1032" t="str">
        <f>+Resultaatmatrix!D86</f>
        <v>Totaal SDE+, SDE, MEP toegekend tm 2012. Wordt uitbetaald in 2003-2020</v>
      </c>
      <c r="B97" s="153">
        <f>+Resultaatmatrix!E88</f>
        <v>8049.5438888888893</v>
      </c>
      <c r="C97" s="82" t="s">
        <v>49</v>
      </c>
      <c r="D97" s="154"/>
      <c r="E97" s="311"/>
      <c r="F97" s="311"/>
      <c r="G97" s="311"/>
      <c r="H97" s="311"/>
      <c r="I97" s="311"/>
      <c r="J97" s="311"/>
    </row>
    <row r="98" spans="1:10" s="3" customFormat="1" ht="15.75" x14ac:dyDescent="0.25">
      <c r="A98" s="1032" t="str">
        <f>+Resultaatmatrix!D87</f>
        <v>Totaal SDE+, SDE, MEP toegekend tm 2012. Wordt uitbetaald in 2021-2035</v>
      </c>
      <c r="B98" s="153">
        <f>+Resultaatmatrix!E89</f>
        <v>25408.813888888886</v>
      </c>
      <c r="C98" s="82" t="s">
        <v>49</v>
      </c>
      <c r="D98" s="154"/>
      <c r="E98" s="311"/>
      <c r="F98" s="311"/>
      <c r="G98" s="311"/>
      <c r="H98" s="311"/>
      <c r="I98" s="311"/>
      <c r="J98" s="311"/>
    </row>
    <row r="99" spans="1:10" ht="15.75" x14ac:dyDescent="0.25">
      <c r="A99" s="1032" t="str">
        <f>+Resultaatmatrix!D88</f>
        <v>Totaal SDE+ toegekend va 2013. Wordt uitbetaald in 2013-2020</v>
      </c>
      <c r="B99" s="153">
        <f>+Resultaatmatrix!E86</f>
        <v>13701.145</v>
      </c>
      <c r="C99" s="82" t="s">
        <v>49</v>
      </c>
      <c r="D99" s="154"/>
      <c r="E99" s="311"/>
      <c r="F99" s="311"/>
      <c r="G99" s="311"/>
      <c r="H99" s="311"/>
      <c r="I99" s="311"/>
      <c r="J99" s="311"/>
    </row>
    <row r="100" spans="1:10" ht="15.75" x14ac:dyDescent="0.25">
      <c r="A100" s="1032" t="str">
        <f>+Resultaatmatrix!D89</f>
        <v>Totaal SDE+ toegekend va 2013. Wordt uitbetaald in 2021-2035</v>
      </c>
      <c r="B100" s="153">
        <f>+Resultaatmatrix!E87</f>
        <v>1798.855</v>
      </c>
      <c r="C100" s="82" t="s">
        <v>49</v>
      </c>
      <c r="D100" s="154"/>
      <c r="E100" s="311"/>
      <c r="F100" s="311"/>
      <c r="G100" s="311"/>
      <c r="H100" s="311"/>
      <c r="I100" s="311"/>
      <c r="J100" s="311"/>
    </row>
    <row r="101" spans="1:10" ht="15.75" x14ac:dyDescent="0.25">
      <c r="A101" s="1032" t="str">
        <f>+Resultaatmatrix!D90</f>
        <v xml:space="preserve">Totaal overige subsidies </v>
      </c>
      <c r="B101" s="153">
        <f>+Resultaatmatrix!E90</f>
        <v>58271.543483194589</v>
      </c>
      <c r="C101" s="82" t="s">
        <v>49</v>
      </c>
      <c r="D101" s="155"/>
      <c r="E101" s="311"/>
      <c r="F101" s="311"/>
      <c r="G101" s="311"/>
      <c r="H101" s="311"/>
      <c r="I101" s="311"/>
      <c r="J101" s="311"/>
    </row>
    <row r="102" spans="1:10" ht="15.75" x14ac:dyDescent="0.25">
      <c r="A102" s="904" t="str">
        <f>+Resultaatmatrix!D91</f>
        <v>Totaal</v>
      </c>
      <c r="B102" s="905">
        <f>+Resultaatmatrix!E91</f>
        <v>107229.90126097237</v>
      </c>
      <c r="C102" s="906" t="s">
        <v>49</v>
      </c>
      <c r="D102" s="156"/>
      <c r="E102" s="311"/>
      <c r="F102" s="311"/>
      <c r="G102" s="311"/>
      <c r="H102" s="311"/>
      <c r="I102" s="311"/>
      <c r="J102" s="311"/>
    </row>
    <row r="103" spans="1:10" x14ac:dyDescent="0.25">
      <c r="E103" s="311"/>
      <c r="F103" s="311"/>
      <c r="G103" s="311"/>
      <c r="H103" s="311"/>
      <c r="I103" s="311"/>
      <c r="J103" s="311"/>
    </row>
    <row r="104" spans="1:10" x14ac:dyDescent="0.25">
      <c r="E104" s="311"/>
      <c r="F104" s="311"/>
      <c r="G104" s="311"/>
      <c r="H104" s="311"/>
      <c r="I104" s="311"/>
      <c r="J104" s="311"/>
    </row>
    <row r="105" spans="1:10" ht="15.75" x14ac:dyDescent="0.25">
      <c r="A105" s="913" t="s">
        <v>722</v>
      </c>
      <c r="B105" s="914">
        <f>+'%Hernieuwbaar'!I25</f>
        <v>0.12891856099009902</v>
      </c>
      <c r="C105" s="915"/>
      <c r="D105" s="72"/>
      <c r="E105" s="311"/>
      <c r="F105" s="311"/>
      <c r="G105" s="311"/>
      <c r="H105" s="311"/>
      <c r="I105" s="311"/>
      <c r="J105" s="311"/>
    </row>
    <row r="106" spans="1:10" ht="15.75" x14ac:dyDescent="0.25">
      <c r="A106" s="913" t="s">
        <v>543</v>
      </c>
      <c r="B106" s="916">
        <f>+Resultaatgrafiek!E66</f>
        <v>4595.8567516305666</v>
      </c>
      <c r="C106" s="915" t="s">
        <v>49</v>
      </c>
      <c r="D106" s="72"/>
      <c r="E106" s="311"/>
      <c r="F106" s="311"/>
      <c r="G106" s="311"/>
      <c r="H106" s="311"/>
      <c r="I106" s="311"/>
      <c r="J106" s="311"/>
    </row>
    <row r="107" spans="1:10" x14ac:dyDescent="0.25">
      <c r="A107" s="315"/>
      <c r="B107" s="316"/>
      <c r="C107" s="316"/>
      <c r="D107" s="317"/>
      <c r="E107" s="317"/>
      <c r="F107" s="317"/>
      <c r="G107" s="317"/>
      <c r="H107" s="19"/>
      <c r="I107" s="19"/>
      <c r="J107" s="311"/>
    </row>
    <row r="108" spans="1:10" x14ac:dyDescent="0.25">
      <c r="A108" s="19"/>
      <c r="B108" s="19"/>
      <c r="C108" s="19"/>
      <c r="D108" s="19"/>
      <c r="E108" s="19"/>
      <c r="F108" s="19"/>
      <c r="G108" s="19"/>
      <c r="H108" s="19"/>
      <c r="I108" s="19"/>
      <c r="J108" s="311"/>
    </row>
    <row r="109" spans="1:10" x14ac:dyDescent="0.25">
      <c r="A109" s="309"/>
      <c r="B109" s="311"/>
      <c r="C109" s="311"/>
      <c r="D109" s="312"/>
      <c r="E109" s="311"/>
      <c r="F109" s="311"/>
      <c r="G109" s="311"/>
      <c r="H109" s="19"/>
      <c r="I109" s="19"/>
      <c r="J109" s="311"/>
    </row>
    <row r="110" spans="1:10" x14ac:dyDescent="0.25">
      <c r="A110" s="309"/>
      <c r="B110" s="311"/>
      <c r="C110" s="311"/>
      <c r="D110" s="312"/>
      <c r="E110" s="311"/>
      <c r="F110" s="311"/>
      <c r="G110" s="311"/>
      <c r="H110" s="19"/>
      <c r="I110" s="19"/>
      <c r="J110" s="311"/>
    </row>
    <row r="111" spans="1:10" x14ac:dyDescent="0.25">
      <c r="A111" s="309"/>
      <c r="B111" s="311"/>
      <c r="C111" s="311"/>
      <c r="D111" s="312"/>
      <c r="E111" s="311"/>
      <c r="F111" s="311"/>
      <c r="G111" s="311"/>
      <c r="H111" s="19"/>
      <c r="I111" s="19"/>
      <c r="J111" s="311"/>
    </row>
    <row r="112" spans="1:10" x14ac:dyDescent="0.25">
      <c r="A112" s="309"/>
      <c r="B112" s="311"/>
      <c r="C112" s="311"/>
      <c r="D112" s="312"/>
      <c r="E112" s="311"/>
      <c r="F112" s="311"/>
      <c r="G112" s="311"/>
      <c r="H112" s="19"/>
      <c r="I112" s="19"/>
      <c r="J112" s="311"/>
    </row>
    <row r="113" spans="1:10" x14ac:dyDescent="0.25">
      <c r="A113" s="309"/>
      <c r="B113" s="311"/>
      <c r="C113" s="311"/>
      <c r="D113" s="312"/>
      <c r="E113" s="311"/>
      <c r="F113" s="311"/>
      <c r="G113" s="311"/>
      <c r="H113" s="19"/>
      <c r="I113" s="19"/>
      <c r="J113" s="311"/>
    </row>
    <row r="114" spans="1:10" x14ac:dyDescent="0.25">
      <c r="A114" s="309"/>
      <c r="B114" s="311"/>
      <c r="C114" s="311"/>
      <c r="D114" s="312"/>
      <c r="E114" s="311"/>
      <c r="F114" s="311"/>
      <c r="G114" s="311"/>
      <c r="H114" s="19"/>
      <c r="I114" s="19"/>
      <c r="J114" s="311"/>
    </row>
    <row r="115" spans="1:10" x14ac:dyDescent="0.25">
      <c r="A115" s="309"/>
      <c r="B115" s="311"/>
      <c r="C115" s="311"/>
      <c r="D115" s="312"/>
      <c r="E115" s="311"/>
      <c r="F115" s="311"/>
      <c r="G115" s="311"/>
      <c r="H115" s="19"/>
      <c r="I115" s="19"/>
      <c r="J115" s="311"/>
    </row>
    <row r="116" spans="1:10" x14ac:dyDescent="0.25">
      <c r="A116" s="309"/>
      <c r="B116" s="311"/>
      <c r="C116" s="311"/>
      <c r="D116" s="312"/>
      <c r="E116" s="311"/>
      <c r="F116" s="311"/>
      <c r="G116" s="311"/>
      <c r="H116" s="19"/>
      <c r="I116" s="19"/>
      <c r="J116" s="311"/>
    </row>
    <row r="117" spans="1:10" x14ac:dyDescent="0.25">
      <c r="A117" s="309"/>
      <c r="B117" s="311"/>
      <c r="C117" s="311"/>
      <c r="D117" s="312"/>
      <c r="E117" s="311"/>
      <c r="F117" s="311"/>
      <c r="G117" s="311"/>
      <c r="H117" s="19"/>
      <c r="I117" s="19"/>
      <c r="J117" s="311"/>
    </row>
    <row r="118" spans="1:10" x14ac:dyDescent="0.25">
      <c r="A118" s="309"/>
      <c r="B118" s="311"/>
      <c r="C118" s="311"/>
      <c r="D118" s="312"/>
      <c r="E118" s="311"/>
      <c r="F118" s="311"/>
      <c r="G118" s="311"/>
      <c r="H118" s="19"/>
      <c r="I118" s="19"/>
      <c r="J118" s="311"/>
    </row>
    <row r="119" spans="1:10" x14ac:dyDescent="0.25">
      <c r="A119" s="309"/>
      <c r="B119" s="311"/>
      <c r="C119" s="311"/>
      <c r="D119" s="312"/>
      <c r="E119" s="311"/>
      <c r="F119" s="311"/>
      <c r="G119" s="311"/>
      <c r="H119" s="19"/>
      <c r="I119" s="19"/>
      <c r="J119" s="311"/>
    </row>
    <row r="120" spans="1:10" x14ac:dyDescent="0.25">
      <c r="A120" s="309"/>
      <c r="B120" s="311"/>
      <c r="C120" s="311"/>
      <c r="D120" s="312"/>
      <c r="E120" s="311"/>
      <c r="F120" s="311"/>
      <c r="G120" s="311"/>
      <c r="H120" s="19"/>
      <c r="I120" s="19"/>
      <c r="J120" s="311"/>
    </row>
    <row r="121" spans="1:10" x14ac:dyDescent="0.25">
      <c r="A121" s="309"/>
      <c r="B121" s="311"/>
      <c r="C121" s="311"/>
      <c r="D121" s="312"/>
      <c r="E121" s="311"/>
      <c r="F121" s="311"/>
      <c r="G121" s="311"/>
      <c r="H121" s="19"/>
      <c r="I121" s="19"/>
      <c r="J121" s="311"/>
    </row>
    <row r="122" spans="1:10" x14ac:dyDescent="0.25">
      <c r="A122" s="309"/>
      <c r="B122" s="311"/>
      <c r="C122" s="311"/>
      <c r="D122" s="312"/>
      <c r="E122" s="311"/>
      <c r="F122" s="311"/>
      <c r="G122" s="311"/>
      <c r="H122" s="19"/>
      <c r="I122" s="19"/>
      <c r="J122" s="311"/>
    </row>
    <row r="123" spans="1:10" x14ac:dyDescent="0.25">
      <c r="A123" s="309"/>
      <c r="B123" s="311"/>
      <c r="C123" s="311"/>
      <c r="D123" s="312"/>
      <c r="E123" s="311"/>
      <c r="F123" s="311"/>
      <c r="G123" s="311"/>
      <c r="H123" s="19"/>
      <c r="I123" s="19"/>
      <c r="J123" s="311"/>
    </row>
    <row r="124" spans="1:10" x14ac:dyDescent="0.25">
      <c r="A124" s="309"/>
      <c r="B124" s="311"/>
      <c r="C124" s="311"/>
      <c r="D124" s="312"/>
      <c r="E124" s="311"/>
      <c r="F124" s="311"/>
      <c r="G124" s="311"/>
      <c r="H124" s="19"/>
      <c r="I124" s="19"/>
      <c r="J124" s="311"/>
    </row>
    <row r="125" spans="1:10" x14ac:dyDescent="0.25">
      <c r="A125" s="309"/>
      <c r="B125" s="311"/>
      <c r="C125" s="311"/>
      <c r="D125" s="312"/>
      <c r="E125" s="311"/>
      <c r="F125" s="311"/>
      <c r="G125" s="311"/>
      <c r="H125" s="19"/>
      <c r="I125" s="19"/>
      <c r="J125" s="311"/>
    </row>
    <row r="126" spans="1:10" x14ac:dyDescent="0.25">
      <c r="A126" s="309"/>
      <c r="B126" s="311"/>
      <c r="C126" s="311"/>
      <c r="D126" s="312"/>
      <c r="E126" s="311"/>
      <c r="F126" s="311"/>
      <c r="G126" s="311"/>
      <c r="H126" s="19"/>
      <c r="I126" s="19"/>
      <c r="J126" s="311"/>
    </row>
    <row r="127" spans="1:10" x14ac:dyDescent="0.25">
      <c r="A127" s="309"/>
      <c r="B127" s="311"/>
      <c r="C127" s="311"/>
      <c r="D127" s="312"/>
      <c r="E127" s="311"/>
      <c r="F127" s="311"/>
      <c r="G127" s="311"/>
      <c r="H127" s="19"/>
      <c r="I127" s="19"/>
      <c r="J127" s="311"/>
    </row>
    <row r="128" spans="1:10" x14ac:dyDescent="0.25">
      <c r="A128" s="309"/>
      <c r="B128" s="311"/>
      <c r="C128" s="311"/>
      <c r="D128" s="312"/>
      <c r="E128" s="311"/>
      <c r="F128" s="311"/>
      <c r="G128" s="311"/>
      <c r="H128" s="19"/>
      <c r="I128" s="19"/>
      <c r="J128" s="311"/>
    </row>
    <row r="129" spans="1:10" x14ac:dyDescent="0.25">
      <c r="A129" s="309"/>
      <c r="B129" s="311"/>
      <c r="C129" s="311"/>
      <c r="D129" s="312"/>
      <c r="E129" s="311"/>
      <c r="F129" s="311"/>
      <c r="G129" s="311"/>
      <c r="H129" s="19"/>
      <c r="I129" s="19"/>
      <c r="J129" s="311"/>
    </row>
    <row r="130" spans="1:10" x14ac:dyDescent="0.25">
      <c r="A130" s="309"/>
      <c r="B130" s="311"/>
      <c r="C130" s="311"/>
      <c r="D130" s="312"/>
      <c r="E130" s="311"/>
      <c r="F130" s="311"/>
      <c r="G130" s="311"/>
      <c r="H130" s="19"/>
      <c r="I130" s="19"/>
      <c r="J130" s="311"/>
    </row>
    <row r="131" spans="1:10" x14ac:dyDescent="0.25">
      <c r="A131" s="309"/>
      <c r="B131" s="311"/>
      <c r="C131" s="311"/>
      <c r="D131" s="312"/>
      <c r="E131" s="311"/>
      <c r="F131" s="311"/>
      <c r="G131" s="311"/>
      <c r="H131" s="19"/>
      <c r="I131" s="19"/>
      <c r="J131" s="311"/>
    </row>
    <row r="132" spans="1:10" x14ac:dyDescent="0.25">
      <c r="A132" s="309"/>
      <c r="B132" s="311"/>
      <c r="C132" s="311"/>
      <c r="D132" s="312"/>
      <c r="E132" s="311"/>
      <c r="F132" s="311"/>
      <c r="G132" s="311"/>
      <c r="H132" s="19"/>
      <c r="I132" s="19"/>
      <c r="J132" s="311"/>
    </row>
    <row r="133" spans="1:10" x14ac:dyDescent="0.25">
      <c r="H133" s="19"/>
      <c r="I133" s="19"/>
      <c r="J133" s="311"/>
    </row>
    <row r="134" spans="1:10" x14ac:dyDescent="0.25">
      <c r="H134" s="19"/>
      <c r="I134" s="19"/>
      <c r="J134" s="311"/>
    </row>
    <row r="135" spans="1:10" x14ac:dyDescent="0.25">
      <c r="H135" s="19"/>
      <c r="I135" s="19"/>
      <c r="J135" s="311"/>
    </row>
    <row r="136" spans="1:10" x14ac:dyDescent="0.25">
      <c r="H136" s="19"/>
      <c r="I136" s="19"/>
      <c r="J136" s="311"/>
    </row>
    <row r="137" spans="1:10" x14ac:dyDescent="0.25">
      <c r="H137" s="19"/>
      <c r="I137" s="19"/>
      <c r="J137" s="311"/>
    </row>
    <row r="138" spans="1:10" x14ac:dyDescent="0.25">
      <c r="H138" s="19"/>
      <c r="I138" s="19"/>
      <c r="J138" s="311"/>
    </row>
    <row r="139" spans="1:10" x14ac:dyDescent="0.25">
      <c r="H139" s="19"/>
      <c r="I139" s="19"/>
      <c r="J139" s="311"/>
    </row>
    <row r="140" spans="1:10" x14ac:dyDescent="0.25">
      <c r="H140" s="19"/>
      <c r="I140" s="19"/>
      <c r="J140" s="311"/>
    </row>
    <row r="141" spans="1:10" x14ac:dyDescent="0.25">
      <c r="H141" s="19"/>
      <c r="I141" s="19"/>
      <c r="J141" s="311"/>
    </row>
    <row r="142" spans="1:10" x14ac:dyDescent="0.25">
      <c r="H142" s="19"/>
      <c r="I142" s="19"/>
      <c r="J142" s="311"/>
    </row>
    <row r="143" spans="1:10" x14ac:dyDescent="0.25">
      <c r="H143" s="19"/>
      <c r="I143" s="19"/>
      <c r="J143" s="311"/>
    </row>
    <row r="144" spans="1:10" x14ac:dyDescent="0.25">
      <c r="H144" s="19"/>
      <c r="I144" s="19"/>
      <c r="J144" s="311"/>
    </row>
    <row r="145" spans="8:10" x14ac:dyDescent="0.25">
      <c r="H145" s="19"/>
      <c r="I145" s="19"/>
      <c r="J145" s="311"/>
    </row>
    <row r="146" spans="8:10" x14ac:dyDescent="0.25">
      <c r="H146" s="19"/>
      <c r="I146" s="19"/>
      <c r="J146" s="311"/>
    </row>
    <row r="147" spans="8:10" x14ac:dyDescent="0.25">
      <c r="H147" s="19"/>
      <c r="I147" s="19"/>
      <c r="J147" s="311"/>
    </row>
    <row r="148" spans="8:10" x14ac:dyDescent="0.25">
      <c r="H148" s="19"/>
      <c r="I148" s="19"/>
      <c r="J148" s="311"/>
    </row>
    <row r="149" spans="8:10" x14ac:dyDescent="0.25">
      <c r="H149" s="19"/>
      <c r="I149" s="19"/>
      <c r="J149" s="311"/>
    </row>
    <row r="150" spans="8:10" x14ac:dyDescent="0.25">
      <c r="H150" s="19"/>
      <c r="I150" s="19"/>
      <c r="J150" s="311"/>
    </row>
    <row r="151" spans="8:10" x14ac:dyDescent="0.25">
      <c r="H151" s="19"/>
      <c r="I151" s="19"/>
      <c r="J151" s="311"/>
    </row>
    <row r="152" spans="8:10" x14ac:dyDescent="0.25">
      <c r="H152" s="19"/>
      <c r="I152" s="19"/>
      <c r="J152" s="311"/>
    </row>
    <row r="153" spans="8:10" x14ac:dyDescent="0.25">
      <c r="H153" s="19"/>
      <c r="I153" s="19"/>
      <c r="J153" s="311"/>
    </row>
    <row r="154" spans="8:10" x14ac:dyDescent="0.25">
      <c r="H154" s="19"/>
      <c r="I154" s="19"/>
      <c r="J154" s="311"/>
    </row>
    <row r="155" spans="8:10" x14ac:dyDescent="0.25">
      <c r="H155" s="19"/>
      <c r="I155" s="19"/>
      <c r="J155" s="311"/>
    </row>
    <row r="156" spans="8:10" x14ac:dyDescent="0.25">
      <c r="H156" s="19"/>
      <c r="I156" s="19"/>
      <c r="J156" s="311"/>
    </row>
    <row r="157" spans="8:10" x14ac:dyDescent="0.25">
      <c r="H157" s="19"/>
      <c r="I157" s="19"/>
      <c r="J157" s="311"/>
    </row>
    <row r="158" spans="8:10" x14ac:dyDescent="0.25">
      <c r="H158" s="19"/>
      <c r="I158" s="19"/>
      <c r="J158" s="311"/>
    </row>
    <row r="159" spans="8:10" x14ac:dyDescent="0.25">
      <c r="H159" s="19"/>
      <c r="I159" s="19"/>
      <c r="J159" s="311"/>
    </row>
    <row r="160" spans="8:10" x14ac:dyDescent="0.25">
      <c r="H160" s="19"/>
      <c r="I160" s="19"/>
      <c r="J160" s="311"/>
    </row>
    <row r="161" spans="8:10" x14ac:dyDescent="0.25">
      <c r="H161" s="19"/>
      <c r="I161" s="19"/>
      <c r="J161" s="311"/>
    </row>
    <row r="162" spans="8:10" x14ac:dyDescent="0.25">
      <c r="H162" s="19"/>
      <c r="I162" s="19"/>
      <c r="J162" s="311"/>
    </row>
    <row r="163" spans="8:10" x14ac:dyDescent="0.25">
      <c r="H163" s="19"/>
      <c r="I163" s="19"/>
      <c r="J163" s="311"/>
    </row>
    <row r="164" spans="8:10" x14ac:dyDescent="0.25">
      <c r="H164" s="19"/>
      <c r="I164" s="19"/>
      <c r="J164" s="311"/>
    </row>
    <row r="165" spans="8:10" x14ac:dyDescent="0.25">
      <c r="H165" s="19"/>
      <c r="I165" s="19"/>
      <c r="J165" s="311"/>
    </row>
    <row r="166" spans="8:10" x14ac:dyDescent="0.25">
      <c r="H166" s="19"/>
      <c r="I166" s="19"/>
      <c r="J166" s="311"/>
    </row>
  </sheetData>
  <mergeCells count="22">
    <mergeCell ref="A5:D5"/>
    <mergeCell ref="A71:D71"/>
    <mergeCell ref="A64:D64"/>
    <mergeCell ref="E8:E9"/>
    <mergeCell ref="E13:E14"/>
    <mergeCell ref="E19:E20"/>
    <mergeCell ref="E35:E36"/>
    <mergeCell ref="E39:E40"/>
    <mergeCell ref="A38:D38"/>
    <mergeCell ref="F61:J61"/>
    <mergeCell ref="A57:D57"/>
    <mergeCell ref="A47:D47"/>
    <mergeCell ref="A43:D43"/>
    <mergeCell ref="A79:D79"/>
    <mergeCell ref="A87:D87"/>
    <mergeCell ref="A18:D18"/>
    <mergeCell ref="A12:D12"/>
    <mergeCell ref="A7:D7"/>
    <mergeCell ref="A34:D34"/>
    <mergeCell ref="A31:D31"/>
    <mergeCell ref="A28:D28"/>
    <mergeCell ref="A25:D25"/>
  </mergeCells>
  <conditionalFormatting sqref="B8">
    <cfRule type="expression" dxfId="132" priority="184" stopIfTrue="1">
      <formula>$B8=0.07</formula>
    </cfRule>
    <cfRule type="expression" dxfId="131" priority="195" stopIfTrue="1">
      <formula>AND($B8&lt;=0.1125,$B8&gt;=B9)</formula>
    </cfRule>
  </conditionalFormatting>
  <conditionalFormatting sqref="B10">
    <cfRule type="expression" dxfId="130" priority="182">
      <formula>$B10=2200</formula>
    </cfRule>
    <cfRule type="expression" dxfId="129" priority="188">
      <formula>$B10&lt;&gt;2200</formula>
    </cfRule>
  </conditionalFormatting>
  <conditionalFormatting sqref="B11">
    <cfRule type="expression" dxfId="128" priority="185" stopIfTrue="1">
      <formula>$B11=6000</formula>
    </cfRule>
    <cfRule type="expression" dxfId="127" priority="186" stopIfTrue="1">
      <formula>AND($B11&lt;=6000,$B11&gt;=3856)</formula>
    </cfRule>
  </conditionalFormatting>
  <conditionalFormatting sqref="B13">
    <cfRule type="expression" dxfId="126" priority="180" stopIfTrue="1">
      <formula>$B13=0.05</formula>
    </cfRule>
    <cfRule type="expression" dxfId="125" priority="181" stopIfTrue="1">
      <formula>AND($B13&lt;=0.1875,$B13&gt;=B14)</formula>
    </cfRule>
  </conditionalFormatting>
  <conditionalFormatting sqref="B14">
    <cfRule type="expression" dxfId="124" priority="178">
      <formula>$B14=0.028</formula>
    </cfRule>
    <cfRule type="cellIs" dxfId="123" priority="179" operator="notEqual">
      <formula>0.0028</formula>
    </cfRule>
  </conditionalFormatting>
  <conditionalFormatting sqref="B16">
    <cfRule type="expression" dxfId="122" priority="176" stopIfTrue="1">
      <formula>$B16=4450</formula>
    </cfRule>
    <cfRule type="expression" dxfId="121" priority="177" stopIfTrue="1">
      <formula>AND($B16&lt;=4450,$B16&gt;=2338)</formula>
    </cfRule>
  </conditionalFormatting>
  <conditionalFormatting sqref="B17">
    <cfRule type="expression" dxfId="120" priority="174" stopIfTrue="1">
      <formula>$B17=3000</formula>
    </cfRule>
    <cfRule type="expression" dxfId="119" priority="175" stopIfTrue="1">
      <formula>AND($B17&lt;=6000,$B17&gt;=2500)</formula>
    </cfRule>
  </conditionalFormatting>
  <conditionalFormatting sqref="B19">
    <cfRule type="expression" dxfId="118" priority="172" stopIfTrue="1">
      <formula>$B19=0.1</formula>
    </cfRule>
    <cfRule type="expression" dxfId="117" priority="173" stopIfTrue="1">
      <formula>AND($B19&lt;=0.147,$B19&gt;=B20)</formula>
    </cfRule>
  </conditionalFormatting>
  <conditionalFormatting sqref="B22">
    <cfRule type="expression" dxfId="116" priority="168" stopIfTrue="1">
      <formula>$B22=0.15</formula>
    </cfRule>
    <cfRule type="expression" dxfId="115" priority="169" stopIfTrue="1">
      <formula>AND($B22&lt;=0.9,$B22&gt;=0.1)</formula>
    </cfRule>
  </conditionalFormatting>
  <conditionalFormatting sqref="B21">
    <cfRule type="expression" dxfId="114" priority="166" stopIfTrue="1">
      <formula>$B21=3500</formula>
    </cfRule>
    <cfRule type="expression" dxfId="113" priority="167" stopIfTrue="1">
      <formula>AND($B21&lt;=10000,$B21&gt;=1515)</formula>
    </cfRule>
  </conditionalFormatting>
  <conditionalFormatting sqref="B23">
    <cfRule type="expression" dxfId="112" priority="162" stopIfTrue="1">
      <formula>$B23=0.1</formula>
    </cfRule>
    <cfRule type="expression" dxfId="111" priority="163" stopIfTrue="1">
      <formula>AND($B23&lt;0.2,$B23&gt;=0.05)</formula>
    </cfRule>
  </conditionalFormatting>
  <conditionalFormatting sqref="B24">
    <cfRule type="expression" dxfId="110" priority="160" stopIfTrue="1">
      <formula>$B24=0.05</formula>
    </cfRule>
    <cfRule type="expression" dxfId="109" priority="161" stopIfTrue="1">
      <formula>AND($B24&lt;=0.1,$B24&gt;=0)</formula>
    </cfRule>
  </conditionalFormatting>
  <conditionalFormatting sqref="B26">
    <cfRule type="expression" dxfId="108" priority="158" stopIfTrue="1">
      <formula>$B26=0.066</formula>
    </cfRule>
    <cfRule type="expression" dxfId="107" priority="159" stopIfTrue="1">
      <formula>AND($B26&lt;=0.137,$B26&gt;=0.01)</formula>
    </cfRule>
  </conditionalFormatting>
  <conditionalFormatting sqref="B27">
    <cfRule type="expression" dxfId="106" priority="156" stopIfTrue="1">
      <formula>$B27=1.6</formula>
    </cfRule>
    <cfRule type="expression" dxfId="105" priority="157" stopIfTrue="1">
      <formula>AND($B27&lt;=1.8,$B27&gt;=1.1)</formula>
    </cfRule>
  </conditionalFormatting>
  <conditionalFormatting sqref="B29">
    <cfRule type="expression" dxfId="104" priority="154" stopIfTrue="1">
      <formula>$B29=0.045</formula>
    </cfRule>
    <cfRule type="expression" dxfId="103" priority="155" stopIfTrue="1">
      <formula>AND($B29&lt;=0.12,$B29&gt;=0.01)</formula>
    </cfRule>
  </conditionalFormatting>
  <conditionalFormatting sqref="B30">
    <cfRule type="expression" dxfId="102" priority="152" stopIfTrue="1">
      <formula>$B30=6.8</formula>
    </cfRule>
    <cfRule type="expression" dxfId="101" priority="153" stopIfTrue="1">
      <formula>AND($B30&lt;=10,$B30&gt;=1)</formula>
    </cfRule>
  </conditionalFormatting>
  <conditionalFormatting sqref="B32">
    <cfRule type="expression" dxfId="100" priority="150" stopIfTrue="1">
      <formula>$B32=0.01</formula>
    </cfRule>
    <cfRule type="expression" dxfId="99" priority="151" stopIfTrue="1">
      <formula>AND($B32&lt;=0.02,$B32&gt;=0.01)</formula>
    </cfRule>
  </conditionalFormatting>
  <conditionalFormatting sqref="B33">
    <cfRule type="expression" dxfId="98" priority="148" stopIfTrue="1">
      <formula>$B33=11.9</formula>
    </cfRule>
    <cfRule type="expression" dxfId="97" priority="149" stopIfTrue="1">
      <formula>AND($B33&lt;=20,$B33&gt;=6.1)</formula>
    </cfRule>
  </conditionalFormatting>
  <conditionalFormatting sqref="B39">
    <cfRule type="expression" dxfId="96" priority="138" stopIfTrue="1">
      <formula>$B39=0.06</formula>
    </cfRule>
    <cfRule type="expression" dxfId="95" priority="139" stopIfTrue="1">
      <formula>AND($B39&lt;=0.2,$B39&gt;=B40)</formula>
    </cfRule>
  </conditionalFormatting>
  <conditionalFormatting sqref="B40">
    <cfRule type="expression" dxfId="94" priority="136" stopIfTrue="1">
      <formula>$B40=0.015</formula>
    </cfRule>
    <cfRule type="expression" dxfId="93" priority="137" stopIfTrue="1">
      <formula>AND($B40&lt;=0.2,$B40&gt;=0.001)</formula>
    </cfRule>
  </conditionalFormatting>
  <conditionalFormatting sqref="B44">
    <cfRule type="expression" dxfId="92" priority="129" stopIfTrue="1">
      <formula>$B44=21000</formula>
    </cfRule>
    <cfRule type="expression" dxfId="91" priority="130" stopIfTrue="1">
      <formula>AND($B44&lt;=30000,$B44&gt;=0)</formula>
    </cfRule>
  </conditionalFormatting>
  <conditionalFormatting sqref="B45">
    <cfRule type="expression" dxfId="90" priority="127" stopIfTrue="1">
      <formula>$B45=15000</formula>
    </cfRule>
    <cfRule type="expression" dxfId="89" priority="128" stopIfTrue="1">
      <formula>$B45&lt;&gt;15000</formula>
    </cfRule>
  </conditionalFormatting>
  <conditionalFormatting sqref="B48">
    <cfRule type="expression" dxfId="88" priority="119" stopIfTrue="1">
      <formula>$B48=25</formula>
    </cfRule>
    <cfRule type="expression" dxfId="87" priority="120" stopIfTrue="1">
      <formula>AND($B48&lt;=50,$B48&gt;=10)</formula>
    </cfRule>
  </conditionalFormatting>
  <conditionalFormatting sqref="B58">
    <cfRule type="expression" dxfId="86" priority="113" stopIfTrue="1">
      <formula>$B58=3500</formula>
    </cfRule>
    <cfRule type="expression" dxfId="85" priority="114" stopIfTrue="1">
      <formula>AND($B58&lt;=4000,$B58&gt;=2000)</formula>
    </cfRule>
  </conditionalFormatting>
  <conditionalFormatting sqref="B59">
    <cfRule type="expression" dxfId="84" priority="111" stopIfTrue="1">
      <formula>$B59=7.6</formula>
    </cfRule>
    <cfRule type="expression" dxfId="83" priority="112" stopIfTrue="1">
      <formula>AND($B59&lt;=9,$B59&gt;=7)</formula>
    </cfRule>
  </conditionalFormatting>
  <conditionalFormatting sqref="B60">
    <cfRule type="expression" dxfId="82" priority="109" stopIfTrue="1">
      <formula>$B60=0.5</formula>
    </cfRule>
    <cfRule type="expression" dxfId="81" priority="110" stopIfTrue="1">
      <formula>AND($B60&lt;=0.75,$B60&gt;=0.25)</formula>
    </cfRule>
  </conditionalFormatting>
  <conditionalFormatting sqref="B37">
    <cfRule type="expression" dxfId="80" priority="103" stopIfTrue="1">
      <formula>$B37=39.1</formula>
    </cfRule>
    <cfRule type="expression" dxfId="79" priority="104" stopIfTrue="1">
      <formula>AND($B37&lt;=60,$B37&gt;=22.4)</formula>
    </cfRule>
  </conditionalFormatting>
  <conditionalFormatting sqref="B61">
    <cfRule type="expression" dxfId="78" priority="101" stopIfTrue="1">
      <formula>$B61=2020</formula>
    </cfRule>
    <cfRule type="expression" dxfId="77" priority="102" stopIfTrue="1">
      <formula>AND($B61&lt;=2200,$B61&gt;1800)</formula>
    </cfRule>
  </conditionalFormatting>
  <conditionalFormatting sqref="B65">
    <cfRule type="expression" dxfId="76" priority="196" stopIfTrue="1">
      <formula>$B65=526</formula>
    </cfRule>
    <cfRule type="expression" dxfId="75" priority="197" stopIfTrue="1">
      <formula>AND($B65&lt;=600,$B65&gt;=400)</formula>
    </cfRule>
  </conditionalFormatting>
  <conditionalFormatting sqref="B70">
    <cfRule type="expression" dxfId="74" priority="202" stopIfTrue="1">
      <formula>$B70=189</formula>
    </cfRule>
    <cfRule type="expression" dxfId="73" priority="203" stopIfTrue="1">
      <formula>AND($B70&lt;=500,$B70&gt;=200)</formula>
    </cfRule>
  </conditionalFormatting>
  <conditionalFormatting sqref="E8">
    <cfRule type="expression" dxfId="72" priority="76">
      <formula>$E8&lt;&gt;""</formula>
    </cfRule>
  </conditionalFormatting>
  <conditionalFormatting sqref="E13">
    <cfRule type="expression" dxfId="71" priority="73">
      <formula>$E13&lt;&gt;""</formula>
    </cfRule>
  </conditionalFormatting>
  <conditionalFormatting sqref="E35">
    <cfRule type="expression" dxfId="70" priority="70">
      <formula>$E35&lt;&gt;""</formula>
    </cfRule>
  </conditionalFormatting>
  <conditionalFormatting sqref="E19">
    <cfRule type="expression" dxfId="69" priority="68">
      <formula>$E19&lt;&gt;""</formula>
    </cfRule>
  </conditionalFormatting>
  <conditionalFormatting sqref="E39">
    <cfRule type="expression" dxfId="68" priority="64">
      <formula>$E39&lt;&gt;""</formula>
    </cfRule>
  </conditionalFormatting>
  <conditionalFormatting sqref="B66">
    <cfRule type="expression" dxfId="67" priority="198" stopIfTrue="1">
      <formula>$B66=0</formula>
    </cfRule>
    <cfRule type="expression" dxfId="66" priority="199">
      <formula>$B66&lt;=100</formula>
    </cfRule>
  </conditionalFormatting>
  <conditionalFormatting sqref="B67">
    <cfRule type="expression" dxfId="65" priority="50" stopIfTrue="1">
      <formula>$B67=0</formula>
    </cfRule>
    <cfRule type="expression" dxfId="64" priority="51">
      <formula>$B67&lt;=100</formula>
    </cfRule>
  </conditionalFormatting>
  <conditionalFormatting sqref="B68">
    <cfRule type="expression" dxfId="63" priority="48" stopIfTrue="1">
      <formula>$B68=0</formula>
    </cfRule>
    <cfRule type="expression" dxfId="62" priority="49">
      <formula>$B68&lt;=100</formula>
    </cfRule>
  </conditionalFormatting>
  <conditionalFormatting sqref="B69">
    <cfRule type="expression" dxfId="61" priority="46" stopIfTrue="1">
      <formula>$B69=0</formula>
    </cfRule>
    <cfRule type="expression" dxfId="60" priority="47">
      <formula>$B69&lt;=100</formula>
    </cfRule>
  </conditionalFormatting>
  <conditionalFormatting sqref="B74">
    <cfRule type="expression" dxfId="59" priority="44" stopIfTrue="1">
      <formula>$B74=0</formula>
    </cfRule>
    <cfRule type="expression" dxfId="58" priority="45">
      <formula>$B74&lt;=100</formula>
    </cfRule>
  </conditionalFormatting>
  <conditionalFormatting sqref="B78">
    <cfRule type="expression" dxfId="57" priority="40" stopIfTrue="1">
      <formula>$B78=20</formula>
    </cfRule>
    <cfRule type="expression" dxfId="56" priority="41">
      <formula>$B78&lt;=190</formula>
    </cfRule>
  </conditionalFormatting>
  <conditionalFormatting sqref="B15">
    <cfRule type="expression" dxfId="55" priority="36">
      <formula>$B15=3900</formula>
    </cfRule>
    <cfRule type="expression" dxfId="54" priority="37">
      <formula>$B15&lt;&gt; 3900</formula>
    </cfRule>
  </conditionalFormatting>
  <conditionalFormatting sqref="B9">
    <cfRule type="expression" dxfId="53" priority="34">
      <formula>$B9=0.028</formula>
    </cfRule>
    <cfRule type="cellIs" dxfId="52" priority="35" operator="notEqual">
      <formula>0.0028</formula>
    </cfRule>
  </conditionalFormatting>
  <conditionalFormatting sqref="B20">
    <cfRule type="expression" dxfId="51" priority="32">
      <formula>$B20=0.033</formula>
    </cfRule>
    <cfRule type="cellIs" dxfId="50" priority="33" operator="notEqual">
      <formula>0.0038</formula>
    </cfRule>
  </conditionalFormatting>
  <conditionalFormatting sqref="B36">
    <cfRule type="expression" dxfId="49" priority="30">
      <formula>$B36=0.038</formula>
    </cfRule>
    <cfRule type="cellIs" dxfId="48" priority="31" operator="notEqual">
      <formula>0.0038</formula>
    </cfRule>
  </conditionalFormatting>
  <conditionalFormatting sqref="B49">
    <cfRule type="expression" dxfId="47" priority="107" stopIfTrue="1">
      <formula>$B49=4000</formula>
    </cfRule>
    <cfRule type="expression" dxfId="46" priority="108" stopIfTrue="1">
      <formula>AND($B49&lt;=8000,$B49&gt;1000)</formula>
    </cfRule>
  </conditionalFormatting>
  <conditionalFormatting sqref="B50">
    <cfRule type="expression" dxfId="45" priority="21" stopIfTrue="1">
      <formula>$B50=2500</formula>
    </cfRule>
    <cfRule type="expression" dxfId="44" priority="22" stopIfTrue="1">
      <formula>AND($B50&lt;=8000,$B50&gt;1000)</formula>
    </cfRule>
  </conditionalFormatting>
  <conditionalFormatting sqref="B41">
    <cfRule type="expression" dxfId="43" priority="17" stopIfTrue="1">
      <formula>$B41=50</formula>
    </cfRule>
    <cfRule type="expression" dxfId="42" priority="18" stopIfTrue="1">
      <formula>AND($B41&lt;=70,$B41&gt;=25)</formula>
    </cfRule>
  </conditionalFormatting>
  <conditionalFormatting sqref="B76">
    <cfRule type="expression" dxfId="41" priority="206" stopIfTrue="1">
      <formula>(B76=25*3.6)</formula>
    </cfRule>
    <cfRule type="expression" dxfId="40" priority="207" stopIfTrue="1">
      <formula>$B76&lt;=100</formula>
    </cfRule>
  </conditionalFormatting>
  <conditionalFormatting sqref="B75">
    <cfRule type="expression" dxfId="39" priority="15" stopIfTrue="1">
      <formula>(B75=25.05*3.6)</formula>
    </cfRule>
    <cfRule type="expression" dxfId="38" priority="16" stopIfTrue="1">
      <formula>(B75&lt;100)</formula>
    </cfRule>
  </conditionalFormatting>
  <conditionalFormatting sqref="B72">
    <cfRule type="expression" dxfId="37" priority="296" stopIfTrue="1">
      <formula>1.884/B73*3.6/0.95*10^3</formula>
    </cfRule>
    <cfRule type="expression" dxfId="36" priority="297" stopIfTrue="1">
      <formula>AND($B72&lt;=250,$B72&gt;=150)</formula>
    </cfRule>
  </conditionalFormatting>
  <conditionalFormatting sqref="B77">
    <cfRule type="expression" dxfId="35" priority="298" stopIfTrue="1">
      <formula>B65/5</formula>
    </cfRule>
    <cfRule type="expression" dxfId="34" priority="299" stopIfTrue="1">
      <formula>AND($B77&lt;=526,$B77&gt;=20)</formula>
    </cfRule>
  </conditionalFormatting>
  <conditionalFormatting sqref="B84:B86">
    <cfRule type="expression" dxfId="33" priority="302" stopIfTrue="1">
      <formula>$B84=$B$83*3.6</formula>
    </cfRule>
    <cfRule type="expression" dxfId="32" priority="303" stopIfTrue="1">
      <formula>AND($C162&lt;=200,$B84&gt;=50)</formula>
    </cfRule>
  </conditionalFormatting>
  <conditionalFormatting sqref="B52">
    <cfRule type="expression" dxfId="31" priority="117" stopIfTrue="1">
      <formula>$B52=624</formula>
    </cfRule>
    <cfRule type="expression" dxfId="30" priority="118" stopIfTrue="1">
      <formula>AND($B52&lt;=700,$B52&gt;=100)</formula>
    </cfRule>
  </conditionalFormatting>
  <conditionalFormatting sqref="B53">
    <cfRule type="expression" dxfId="29" priority="13" stopIfTrue="1">
      <formula>$B53=70%</formula>
    </cfRule>
    <cfRule type="expression" dxfId="28" priority="14" stopIfTrue="1">
      <formula>AND($B53&gt;=20%,$B53&lt;=100%)</formula>
    </cfRule>
  </conditionalFormatting>
  <conditionalFormatting sqref="B35">
    <cfRule type="expression" dxfId="27" priority="304" stopIfTrue="1">
      <formula>$B35=0.1</formula>
    </cfRule>
    <cfRule type="expression" dxfId="26" priority="305" stopIfTrue="1">
      <formula>AND($B35&lt;=0.12,$B35&gt;=B36)</formula>
    </cfRule>
  </conditionalFormatting>
  <conditionalFormatting sqref="B42">
    <cfRule type="expression" dxfId="25" priority="306" stopIfTrue="1">
      <formula>#REF!=18.8</formula>
    </cfRule>
    <cfRule type="expression" dxfId="24" priority="307" stopIfTrue="1">
      <formula>AND(#REF!&lt;50,#REF!&gt;18)</formula>
    </cfRule>
  </conditionalFormatting>
  <conditionalFormatting sqref="B57">
    <cfRule type="expression" dxfId="23" priority="115" stopIfTrue="1">
      <formula>$B58=100</formula>
    </cfRule>
    <cfRule type="expression" dxfId="22" priority="116" stopIfTrue="1">
      <formula>AND($B58&lt;=500,$B58&gt;=25)</formula>
    </cfRule>
  </conditionalFormatting>
  <conditionalFormatting sqref="B54">
    <cfRule type="expression" dxfId="21" priority="9" stopIfTrue="1">
      <formula>$B54=150</formula>
    </cfRule>
    <cfRule type="expression" dxfId="20" priority="10" stopIfTrue="1">
      <formula>AND($B54&lt;=500,$B54&gt;25)</formula>
    </cfRule>
  </conditionalFormatting>
  <conditionalFormatting sqref="B55">
    <cfRule type="expression" dxfId="19" priority="7" stopIfTrue="1">
      <formula>$B55=100</formula>
    </cfRule>
    <cfRule type="expression" dxfId="18" priority="8" stopIfTrue="1">
      <formula>AND($B55&lt;=500,$B55&gt;25)</formula>
    </cfRule>
  </conditionalFormatting>
  <conditionalFormatting sqref="B6">
    <cfRule type="expression" dxfId="17" priority="5" stopIfTrue="1">
      <formula>$B6=0.07</formula>
    </cfRule>
    <cfRule type="expression" dxfId="16" priority="6" stopIfTrue="1">
      <formula>$B6&lt;=0.13</formula>
    </cfRule>
  </conditionalFormatting>
  <conditionalFormatting sqref="B51">
    <cfRule type="expression" dxfId="15" priority="3" stopIfTrue="1">
      <formula>$B51=0.015</formula>
    </cfRule>
    <cfRule type="expression" dxfId="14" priority="4" stopIfTrue="1">
      <formula>AND($B51&lt;=1,$B51&gt;=0.015)</formula>
    </cfRule>
  </conditionalFormatting>
  <pageMargins left="0.70866141732283472" right="0" top="0.39370078740157483" bottom="0" header="0.31496062992125984" footer="0"/>
  <pageSetup paperSize="9" scale="8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T50"/>
  <sheetViews>
    <sheetView showGridLines="0" topLeftCell="A19" zoomScale="90" zoomScaleNormal="90" workbookViewId="0">
      <selection activeCell="A21" sqref="A21"/>
    </sheetView>
  </sheetViews>
  <sheetFormatPr defaultRowHeight="15" x14ac:dyDescent="0.25"/>
  <cols>
    <col min="1" max="1" width="82.85546875" style="2" customWidth="1"/>
    <col min="2" max="2" width="12.28515625" customWidth="1"/>
    <col min="3" max="3" width="17" customWidth="1"/>
    <col min="4" max="4" width="59.7109375" style="20" customWidth="1"/>
    <col min="5" max="5" width="14.42578125" style="311" customWidth="1"/>
    <col min="6" max="6" width="23.7109375" style="311" customWidth="1"/>
    <col min="7" max="7" width="19" style="311" bestFit="1" customWidth="1"/>
    <col min="8" max="8" width="10" style="311" bestFit="1" customWidth="1"/>
    <col min="9" max="72" width="9.140625" style="311"/>
  </cols>
  <sheetData>
    <row r="1" spans="1:72" x14ac:dyDescent="0.25">
      <c r="A1" s="309"/>
      <c r="B1" s="310"/>
      <c r="C1" s="311"/>
      <c r="D1" s="312"/>
    </row>
    <row r="2" spans="1:72" x14ac:dyDescent="0.25">
      <c r="A2" s="309"/>
      <c r="B2" s="311"/>
      <c r="C2" s="311"/>
      <c r="D2" s="312"/>
    </row>
    <row r="3" spans="1:72" x14ac:dyDescent="0.25">
      <c r="A3" s="309"/>
      <c r="B3" s="311"/>
      <c r="C3" s="311"/>
      <c r="D3" s="312"/>
    </row>
    <row r="4" spans="1:72" s="8" customFormat="1" ht="21" customHeight="1" x14ac:dyDescent="0.35">
      <c r="A4" s="334" t="s">
        <v>152</v>
      </c>
      <c r="B4" s="21"/>
      <c r="C4" s="21"/>
      <c r="D4" s="22"/>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row>
    <row r="5" spans="1:72" s="19" customFormat="1" ht="20.100000000000001" customHeight="1" x14ac:dyDescent="0.25">
      <c r="A5" s="1711" t="s">
        <v>557</v>
      </c>
      <c r="B5" s="1711"/>
      <c r="C5" s="1711"/>
      <c r="D5" s="1711"/>
    </row>
    <row r="6" spans="1:72" s="19" customFormat="1" ht="39" customHeight="1" x14ac:dyDescent="0.25">
      <c r="A6" s="1713" t="s">
        <v>616</v>
      </c>
      <c r="B6" s="1713"/>
      <c r="C6" s="1713"/>
      <c r="D6" s="1713"/>
    </row>
    <row r="7" spans="1:72" s="19" customFormat="1" ht="73.5" customHeight="1" x14ac:dyDescent="0.25">
      <c r="A7" s="1732" t="s">
        <v>807</v>
      </c>
      <c r="B7" s="1732"/>
      <c r="C7" s="1732"/>
      <c r="D7" s="1732"/>
    </row>
    <row r="8" spans="1:72" s="19" customFormat="1" ht="53.25" customHeight="1" x14ac:dyDescent="0.25">
      <c r="A8" s="1713" t="s">
        <v>623</v>
      </c>
      <c r="B8" s="1713"/>
      <c r="C8" s="1713"/>
      <c r="D8" s="1713"/>
    </row>
    <row r="9" spans="1:72" s="19" customFormat="1" ht="64.5" customHeight="1" x14ac:dyDescent="0.25">
      <c r="A9" s="1711" t="s">
        <v>558</v>
      </c>
      <c r="B9" s="1711"/>
      <c r="C9" s="1711"/>
      <c r="D9" s="1711"/>
    </row>
    <row r="10" spans="1:72" s="19" customFormat="1" ht="39.950000000000003" customHeight="1" x14ac:dyDescent="0.25">
      <c r="A10" s="1711" t="s">
        <v>559</v>
      </c>
      <c r="B10" s="1711"/>
      <c r="C10" s="1711"/>
      <c r="D10" s="1711"/>
    </row>
    <row r="11" spans="1:72" s="19" customFormat="1" ht="20.100000000000001" customHeight="1" x14ac:dyDescent="0.25">
      <c r="A11" s="1713" t="s">
        <v>624</v>
      </c>
      <c r="B11" s="1713"/>
      <c r="C11" s="1713"/>
      <c r="D11" s="1713"/>
    </row>
    <row r="12" spans="1:72" s="19" customFormat="1" ht="15.75" x14ac:dyDescent="0.25">
      <c r="A12" s="314"/>
      <c r="B12" s="654"/>
      <c r="C12" s="654"/>
      <c r="D12" s="654"/>
    </row>
    <row r="13" spans="1:72" s="8" customFormat="1" ht="21" x14ac:dyDescent="0.35">
      <c r="A13" s="659" t="s">
        <v>163</v>
      </c>
      <c r="B13" s="712"/>
      <c r="C13" s="712"/>
      <c r="D13" s="713"/>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row>
    <row r="14" spans="1:72" s="17" customFormat="1" ht="15.75" x14ac:dyDescent="0.25">
      <c r="A14" s="58" t="s">
        <v>167</v>
      </c>
      <c r="B14" s="59" t="s">
        <v>169</v>
      </c>
      <c r="C14" s="60"/>
      <c r="D14" s="61"/>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row>
    <row r="15" spans="1:72" s="19" customFormat="1" ht="15.75" x14ac:dyDescent="0.25">
      <c r="A15" s="324" t="s">
        <v>422</v>
      </c>
      <c r="B15" s="1735" t="s">
        <v>356</v>
      </c>
      <c r="C15" s="1736"/>
      <c r="D15" s="1737"/>
    </row>
    <row r="16" spans="1:72" s="19" customFormat="1" ht="46.5" customHeight="1" x14ac:dyDescent="0.25">
      <c r="A16" s="1123" t="s">
        <v>419</v>
      </c>
      <c r="B16" s="1741" t="s">
        <v>560</v>
      </c>
      <c r="C16" s="1742"/>
      <c r="D16" s="1743"/>
    </row>
    <row r="17" spans="1:4" s="19" customFormat="1" ht="15.75" x14ac:dyDescent="0.25">
      <c r="A17" s="715" t="s">
        <v>357</v>
      </c>
      <c r="B17" s="373" t="s">
        <v>358</v>
      </c>
      <c r="C17" s="655"/>
      <c r="D17" s="656"/>
    </row>
    <row r="18" spans="1:4" s="19" customFormat="1" ht="15.75" x14ac:dyDescent="0.25">
      <c r="A18" s="716" t="s">
        <v>206</v>
      </c>
      <c r="B18" s="113" t="s">
        <v>561</v>
      </c>
      <c r="C18" s="325"/>
      <c r="D18" s="326"/>
    </row>
    <row r="19" spans="1:4" s="19" customFormat="1" ht="15.75" x14ac:dyDescent="0.25">
      <c r="A19" s="717" t="s">
        <v>257</v>
      </c>
      <c r="B19" s="113" t="s">
        <v>562</v>
      </c>
      <c r="C19" s="325"/>
      <c r="D19" s="326"/>
    </row>
    <row r="20" spans="1:4" s="19" customFormat="1" ht="15.75" x14ac:dyDescent="0.25">
      <c r="A20" s="714" t="s">
        <v>423</v>
      </c>
      <c r="B20" s="113" t="s">
        <v>286</v>
      </c>
      <c r="C20" s="325"/>
      <c r="D20" s="326"/>
    </row>
    <row r="21" spans="1:4" s="19" customFormat="1" ht="15.75" x14ac:dyDescent="0.25">
      <c r="A21" s="718" t="s">
        <v>347</v>
      </c>
      <c r="B21" s="113" t="s">
        <v>207</v>
      </c>
      <c r="C21" s="325"/>
      <c r="D21" s="326"/>
    </row>
    <row r="22" spans="1:4" s="19" customFormat="1" ht="15.75" x14ac:dyDescent="0.25">
      <c r="A22" s="719" t="s">
        <v>164</v>
      </c>
      <c r="B22" s="113" t="s">
        <v>504</v>
      </c>
      <c r="C22" s="325"/>
      <c r="D22" s="326"/>
    </row>
    <row r="23" spans="1:4" s="19" customFormat="1" ht="15.75" x14ac:dyDescent="0.25">
      <c r="A23" s="716" t="s">
        <v>256</v>
      </c>
      <c r="B23" s="113" t="s">
        <v>563</v>
      </c>
      <c r="C23" s="325"/>
      <c r="D23" s="326"/>
    </row>
    <row r="24" spans="1:4" s="19" customFormat="1" ht="15.75" x14ac:dyDescent="0.25">
      <c r="A24" s="720" t="s">
        <v>251</v>
      </c>
      <c r="B24" s="113" t="s">
        <v>564</v>
      </c>
      <c r="C24" s="657"/>
      <c r="D24" s="658"/>
    </row>
    <row r="25" spans="1:4" s="19" customFormat="1" ht="15.75" x14ac:dyDescent="0.25">
      <c r="A25" s="720" t="s">
        <v>343</v>
      </c>
      <c r="B25" s="113" t="s">
        <v>565</v>
      </c>
      <c r="C25" s="657"/>
      <c r="D25" s="658"/>
    </row>
    <row r="26" spans="1:4" s="19" customFormat="1" ht="15.75" x14ac:dyDescent="0.25">
      <c r="A26" s="720" t="s">
        <v>252</v>
      </c>
      <c r="B26" s="113" t="s">
        <v>566</v>
      </c>
      <c r="C26" s="657"/>
      <c r="D26" s="658"/>
    </row>
    <row r="27" spans="1:4" s="19" customFormat="1" ht="15.75" x14ac:dyDescent="0.25">
      <c r="A27" s="721" t="s">
        <v>165</v>
      </c>
      <c r="B27" s="328" t="s">
        <v>567</v>
      </c>
      <c r="C27" s="657"/>
      <c r="D27" s="658"/>
    </row>
    <row r="28" spans="1:4" s="19" customFormat="1" ht="18.75" x14ac:dyDescent="0.25">
      <c r="A28" s="720" t="s">
        <v>401</v>
      </c>
      <c r="B28" s="328" t="s">
        <v>440</v>
      </c>
      <c r="C28" s="657"/>
      <c r="D28" s="658"/>
    </row>
    <row r="29" spans="1:4" s="19" customFormat="1" ht="15.75" x14ac:dyDescent="0.25">
      <c r="A29" s="1123" t="s">
        <v>915</v>
      </c>
      <c r="B29" s="1738" t="s">
        <v>916</v>
      </c>
      <c r="C29" s="1739"/>
      <c r="D29" s="1740"/>
    </row>
    <row r="30" spans="1:4" s="19" customFormat="1" ht="15.75" x14ac:dyDescent="0.25">
      <c r="A30" s="721" t="s">
        <v>166</v>
      </c>
      <c r="B30" s="328" t="s">
        <v>568</v>
      </c>
      <c r="C30" s="657"/>
      <c r="D30" s="658"/>
    </row>
    <row r="31" spans="1:4" s="19" customFormat="1" ht="15.75" x14ac:dyDescent="0.25">
      <c r="A31" s="722"/>
      <c r="B31" s="329"/>
      <c r="C31" s="330"/>
      <c r="D31" s="330"/>
    </row>
    <row r="32" spans="1:4" s="19" customFormat="1" ht="15.75" x14ac:dyDescent="0.25">
      <c r="A32" s="722"/>
      <c r="B32" s="329"/>
      <c r="C32" s="330"/>
      <c r="D32" s="330"/>
    </row>
    <row r="33" spans="1:72" s="8" customFormat="1" ht="21" x14ac:dyDescent="0.25">
      <c r="A33" s="335" t="s">
        <v>158</v>
      </c>
      <c r="B33" s="23"/>
      <c r="C33" s="23"/>
      <c r="D33" s="23"/>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row>
    <row r="34" spans="1:72" s="19" customFormat="1" ht="20.100000000000001" customHeight="1" x14ac:dyDescent="0.25">
      <c r="A34" s="723" t="s">
        <v>569</v>
      </c>
      <c r="B34" s="724"/>
      <c r="C34" s="724"/>
      <c r="D34" s="724"/>
    </row>
    <row r="35" spans="1:72" s="19" customFormat="1" ht="20.100000000000001" customHeight="1" x14ac:dyDescent="0.25">
      <c r="A35" s="1731" t="s">
        <v>570</v>
      </c>
      <c r="B35" s="1731"/>
      <c r="C35" s="1731"/>
      <c r="D35" s="1731"/>
    </row>
    <row r="36" spans="1:72" s="19" customFormat="1" ht="35.1" customHeight="1" x14ac:dyDescent="0.25">
      <c r="A36" s="1734" t="s">
        <v>1013</v>
      </c>
      <c r="B36" s="1734"/>
      <c r="C36" s="1734"/>
      <c r="D36" s="1734"/>
    </row>
    <row r="37" spans="1:72" s="19" customFormat="1" ht="35.1" customHeight="1" x14ac:dyDescent="0.25">
      <c r="A37" s="1731" t="s">
        <v>279</v>
      </c>
      <c r="B37" s="1731"/>
      <c r="C37" s="1731"/>
      <c r="D37" s="1731"/>
    </row>
    <row r="38" spans="1:72" s="19" customFormat="1" ht="17.45" customHeight="1" x14ac:dyDescent="0.25">
      <c r="A38" s="1733" t="s">
        <v>1034</v>
      </c>
      <c r="B38" s="1733"/>
      <c r="C38" s="1733"/>
      <c r="D38" s="1733"/>
    </row>
    <row r="39" spans="1:72" s="311" customFormat="1" ht="35.1" customHeight="1" x14ac:dyDescent="0.25">
      <c r="A39" s="1730" t="s">
        <v>613</v>
      </c>
      <c r="B39" s="1730"/>
      <c r="C39" s="1730"/>
      <c r="D39" s="1730"/>
    </row>
    <row r="40" spans="1:72" s="311" customFormat="1" ht="35.1" customHeight="1" x14ac:dyDescent="0.25">
      <c r="A40" s="1729" t="s">
        <v>622</v>
      </c>
      <c r="B40" s="1729"/>
      <c r="C40" s="1729"/>
      <c r="D40" s="1729"/>
    </row>
    <row r="41" spans="1:72" s="311" customFormat="1" x14ac:dyDescent="0.25">
      <c r="A41" s="503"/>
      <c r="D41" s="312"/>
    </row>
    <row r="42" spans="1:72" s="311" customFormat="1" x14ac:dyDescent="0.25">
      <c r="A42" s="503"/>
      <c r="B42" s="19"/>
      <c r="C42" s="19"/>
      <c r="D42" s="313"/>
      <c r="E42" s="19"/>
      <c r="F42" s="19"/>
      <c r="G42" s="19"/>
      <c r="H42" s="19"/>
      <c r="I42" s="19"/>
    </row>
    <row r="43" spans="1:72" x14ac:dyDescent="0.25">
      <c r="A43" s="69"/>
      <c r="B43" s="69"/>
      <c r="C43" s="69"/>
      <c r="D43" s="69"/>
      <c r="E43" s="315"/>
      <c r="F43" s="315"/>
      <c r="G43" s="315"/>
      <c r="H43" s="19"/>
      <c r="I43" s="19"/>
    </row>
    <row r="44" spans="1:72" x14ac:dyDescent="0.25">
      <c r="A44" s="69"/>
      <c r="B44" s="70"/>
      <c r="C44" s="70"/>
      <c r="D44" s="71"/>
      <c r="E44" s="317"/>
      <c r="F44" s="317"/>
      <c r="G44" s="317"/>
      <c r="H44" s="19"/>
      <c r="I44" s="19"/>
    </row>
    <row r="45" spans="1:72" x14ac:dyDescent="0.25">
      <c r="A45" s="69"/>
      <c r="B45" s="70"/>
      <c r="C45" s="70"/>
      <c r="D45" s="71"/>
      <c r="E45" s="317"/>
      <c r="F45" s="317"/>
      <c r="G45" s="317"/>
      <c r="H45" s="19"/>
      <c r="I45" s="19"/>
    </row>
    <row r="46" spans="1:72" x14ac:dyDescent="0.25">
      <c r="A46" s="69"/>
      <c r="B46" s="70"/>
      <c r="C46" s="70"/>
      <c r="D46" s="71"/>
      <c r="E46" s="317"/>
      <c r="F46" s="317"/>
      <c r="G46" s="317"/>
      <c r="H46" s="19"/>
      <c r="I46" s="19"/>
    </row>
    <row r="47" spans="1:72" x14ac:dyDescent="0.25">
      <c r="A47" s="69"/>
      <c r="B47" s="70"/>
      <c r="C47" s="70"/>
      <c r="D47" s="71"/>
      <c r="E47" s="317"/>
      <c r="F47" s="317"/>
      <c r="G47" s="317"/>
      <c r="H47" s="19"/>
      <c r="I47" s="19"/>
    </row>
    <row r="48" spans="1:72" x14ac:dyDescent="0.25">
      <c r="A48" s="16"/>
      <c r="B48" s="68"/>
      <c r="C48" s="8"/>
      <c r="D48" s="67"/>
      <c r="E48" s="19"/>
      <c r="F48" s="19"/>
      <c r="G48" s="19"/>
      <c r="H48" s="19"/>
      <c r="I48" s="19"/>
    </row>
    <row r="49" spans="1:9" x14ac:dyDescent="0.25">
      <c r="A49" s="16"/>
      <c r="B49" s="8"/>
      <c r="C49" s="8"/>
      <c r="D49" s="67"/>
      <c r="E49" s="19"/>
      <c r="F49" s="19"/>
      <c r="G49" s="19"/>
      <c r="H49" s="19"/>
      <c r="I49" s="19"/>
    </row>
    <row r="50" spans="1:9" x14ac:dyDescent="0.25">
      <c r="A50" s="16"/>
      <c r="B50" s="8"/>
      <c r="C50" s="8"/>
      <c r="D50" s="67"/>
      <c r="E50" s="19"/>
      <c r="F50" s="19"/>
      <c r="G50" s="19"/>
      <c r="H50" s="19"/>
      <c r="I50" s="19"/>
    </row>
  </sheetData>
  <mergeCells count="16">
    <mergeCell ref="A5:D5"/>
    <mergeCell ref="A35:D35"/>
    <mergeCell ref="A9:D9"/>
    <mergeCell ref="A36:D36"/>
    <mergeCell ref="B15:D15"/>
    <mergeCell ref="B29:D29"/>
    <mergeCell ref="A8:D8"/>
    <mergeCell ref="B16:D16"/>
    <mergeCell ref="A6:D6"/>
    <mergeCell ref="A40:D40"/>
    <mergeCell ref="A39:D39"/>
    <mergeCell ref="A37:D37"/>
    <mergeCell ref="A7:D7"/>
    <mergeCell ref="A10:D10"/>
    <mergeCell ref="A11:D11"/>
    <mergeCell ref="A38:D38"/>
  </mergeCells>
  <hyperlinks>
    <hyperlink ref="A23" location="Wind!A1" display="- Wind"/>
    <hyperlink ref="A24" location="' PV'!A1" display="- PV"/>
    <hyperlink ref="A26" location="Biomassa!A1" display="- Biomassa"/>
    <hyperlink ref="A27" location="Vervoer!A1" display="- Vervoer"/>
    <hyperlink ref="A30" location="Innovatiesubsidies!A1" display="- Innovatiesubsidies"/>
    <hyperlink ref="A18" location="Resultaatmatrix!A1" display="- Resultaatmatrix "/>
    <hyperlink ref="A22" location="Refs!A1" display="- Referenties"/>
    <hyperlink ref="A19" location="Resultaatgrafiek!A1" display="- Resultaatgrafiek"/>
    <hyperlink ref="A25" location="Warmte!A1" display="- Warmte"/>
    <hyperlink ref="A21" location="'%Hernieuwbaar'!A1" display="- % Hernieuwbaar"/>
    <hyperlink ref="A17" location="Uitgangspunten!A1" display="- Uitgangspunten"/>
    <hyperlink ref="A28" location="Energiebesparing!A1" display="- Energiebesparing"/>
    <hyperlink ref="A20" location="'Vergelijk AlgRek'!A1" display="- Resultaat vergelijk met rapport Algemene Rekenkamer"/>
    <hyperlink ref="A29" location="'SDE&amp;MEP tm 2012'!A1" display="- SDE&amp;MEP tm 2012"/>
    <hyperlink ref="A16" location="'Lijst maatregelen EA'!A1" display="- Lijst maatregelen EA"/>
  </hyperlinks>
  <pageMargins left="0.70866141732283472" right="0" top="0.39370078740157483" bottom="0" header="0.31496062992125984" footer="0"/>
  <pageSetup paperSize="9" scale="8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4"/>
  <sheetViews>
    <sheetView topLeftCell="D88" zoomScale="80" zoomScaleNormal="80" workbookViewId="0">
      <selection activeCell="I73" sqref="I73"/>
    </sheetView>
  </sheetViews>
  <sheetFormatPr defaultColWidth="9.140625" defaultRowHeight="15" x14ac:dyDescent="0.25"/>
  <cols>
    <col min="1" max="1" width="5.140625" style="193" customWidth="1"/>
    <col min="2" max="2" width="5.7109375" style="194" customWidth="1"/>
    <col min="3" max="3" width="104.140625" style="14" customWidth="1"/>
    <col min="4" max="4" width="32.85546875" style="192" customWidth="1"/>
    <col min="5" max="5" width="33.42578125" style="192" customWidth="1"/>
    <col min="6" max="6" width="14.42578125" style="191" customWidth="1"/>
    <col min="7" max="7" width="44.140625" style="195" customWidth="1"/>
    <col min="8" max="8" width="9.140625" style="65"/>
    <col min="9" max="9" width="17.28515625" style="65" customWidth="1"/>
    <col min="10" max="10" width="11" style="65" bestFit="1" customWidth="1"/>
    <col min="11" max="11" width="9.140625" style="65"/>
    <col min="12" max="12" width="16.28515625" style="65" bestFit="1" customWidth="1"/>
    <col min="13" max="13" width="11.140625" style="65" customWidth="1"/>
    <col min="14" max="14" width="11.28515625" style="65" customWidth="1"/>
    <col min="15" max="18" width="9.140625" style="65"/>
    <col min="19" max="19" width="11.42578125" style="65" customWidth="1"/>
    <col min="20" max="16384" width="9.140625" style="65"/>
  </cols>
  <sheetData>
    <row r="1" spans="1:8" s="376" customFormat="1" ht="57" x14ac:dyDescent="0.35">
      <c r="A1" s="1746" t="s">
        <v>545</v>
      </c>
      <c r="B1" s="1747"/>
      <c r="C1" s="1748"/>
      <c r="D1" s="667" t="s">
        <v>1057</v>
      </c>
      <c r="E1" s="667" t="s">
        <v>546</v>
      </c>
      <c r="F1" s="668" t="s">
        <v>8</v>
      </c>
      <c r="G1" s="669" t="s">
        <v>22</v>
      </c>
    </row>
    <row r="2" spans="1:8" s="14" customFormat="1" ht="15.75" x14ac:dyDescent="0.25">
      <c r="A2" s="681" t="s">
        <v>1</v>
      </c>
      <c r="B2" s="672"/>
      <c r="C2" s="672"/>
      <c r="D2" s="673"/>
      <c r="E2" s="673"/>
      <c r="F2" s="682"/>
      <c r="G2" s="683"/>
      <c r="H2" s="376"/>
    </row>
    <row r="3" spans="1:8" s="14" customFormat="1" ht="15.75" x14ac:dyDescent="0.25">
      <c r="A3" s="684"/>
      <c r="B3" s="685"/>
      <c r="C3" s="685" t="s">
        <v>434</v>
      </c>
      <c r="D3" s="675">
        <f>+Energiebesparing!F51</f>
        <v>4119.0077104181655</v>
      </c>
      <c r="E3" s="675">
        <f>+Energiebesparing!F66</f>
        <v>8518.7337041834016</v>
      </c>
      <c r="F3" s="526">
        <f>+D3+E3</f>
        <v>12637.741414601567</v>
      </c>
      <c r="G3" s="686" t="s">
        <v>435</v>
      </c>
      <c r="H3" s="376"/>
    </row>
    <row r="4" spans="1:8" s="14" customFormat="1" ht="47.25" x14ac:dyDescent="0.25">
      <c r="A4" s="687"/>
      <c r="B4" s="670"/>
      <c r="C4" s="379" t="s">
        <v>547</v>
      </c>
      <c r="D4" s="385">
        <v>0</v>
      </c>
      <c r="E4" s="385">
        <v>0</v>
      </c>
      <c r="F4" s="526">
        <f>+D4+E4</f>
        <v>0</v>
      </c>
      <c r="G4" s="525" t="s">
        <v>438</v>
      </c>
      <c r="H4" s="376"/>
    </row>
    <row r="5" spans="1:8" s="14" customFormat="1" ht="15.75" x14ac:dyDescent="0.25">
      <c r="A5" s="687"/>
      <c r="B5" s="670"/>
      <c r="C5" s="678" t="s">
        <v>680</v>
      </c>
      <c r="D5" s="385">
        <v>150</v>
      </c>
      <c r="E5" s="385"/>
      <c r="F5" s="526">
        <f>+D5+E5</f>
        <v>150</v>
      </c>
      <c r="G5" s="525" t="s">
        <v>66</v>
      </c>
      <c r="H5" s="376"/>
    </row>
    <row r="6" spans="1:8" s="14" customFormat="1" ht="45" x14ac:dyDescent="0.25">
      <c r="A6" s="687"/>
      <c r="B6" s="670"/>
      <c r="C6" s="670" t="s">
        <v>70</v>
      </c>
      <c r="D6" s="385" t="s">
        <v>548</v>
      </c>
      <c r="E6" s="385">
        <v>0</v>
      </c>
      <c r="F6" s="526"/>
      <c r="G6" s="686" t="s">
        <v>693</v>
      </c>
      <c r="H6" s="376"/>
    </row>
    <row r="7" spans="1:8" s="14" customFormat="1" ht="15.75" x14ac:dyDescent="0.25">
      <c r="A7" s="687"/>
      <c r="B7" s="670"/>
      <c r="C7" s="379" t="s">
        <v>67</v>
      </c>
      <c r="D7" s="385" t="s">
        <v>548</v>
      </c>
      <c r="E7" s="385">
        <v>0</v>
      </c>
      <c r="F7" s="526"/>
      <c r="G7" s="525"/>
      <c r="H7" s="376"/>
    </row>
    <row r="8" spans="1:8" s="14" customFormat="1" ht="15.75" x14ac:dyDescent="0.25">
      <c r="A8" s="687"/>
      <c r="B8" s="670"/>
      <c r="C8" s="379" t="s">
        <v>68</v>
      </c>
      <c r="D8" s="385" t="s">
        <v>548</v>
      </c>
      <c r="E8" s="385"/>
      <c r="F8" s="526"/>
      <c r="G8" s="525"/>
      <c r="H8" s="376"/>
    </row>
    <row r="9" spans="1:8" s="14" customFormat="1" ht="45" x14ac:dyDescent="0.25">
      <c r="A9" s="688"/>
      <c r="B9" s="379"/>
      <c r="C9" s="379" t="s">
        <v>63</v>
      </c>
      <c r="D9" s="385" t="s">
        <v>548</v>
      </c>
      <c r="E9" s="385">
        <v>0</v>
      </c>
      <c r="F9" s="526"/>
      <c r="G9" s="525" t="s">
        <v>64</v>
      </c>
      <c r="H9" s="376"/>
    </row>
    <row r="10" spans="1:8" s="14" customFormat="1" ht="15.75" x14ac:dyDescent="0.25">
      <c r="A10" s="687"/>
      <c r="B10" s="670"/>
      <c r="C10" s="379" t="s">
        <v>69</v>
      </c>
      <c r="D10" s="385" t="s">
        <v>548</v>
      </c>
      <c r="E10" s="385"/>
      <c r="F10" s="526"/>
      <c r="G10" s="525"/>
      <c r="H10" s="376"/>
    </row>
    <row r="11" spans="1:8" s="14" customFormat="1" ht="15.75" x14ac:dyDescent="0.25">
      <c r="A11" s="687"/>
      <c r="B11" s="670"/>
      <c r="C11" s="379"/>
      <c r="D11" s="385" t="s">
        <v>548</v>
      </c>
      <c r="E11" s="385"/>
      <c r="F11" s="526"/>
      <c r="G11" s="525"/>
      <c r="H11" s="376"/>
    </row>
    <row r="12" spans="1:8" s="14" customFormat="1" ht="15.75" x14ac:dyDescent="0.25">
      <c r="A12" s="687"/>
      <c r="B12" s="670"/>
      <c r="C12" s="379" t="s">
        <v>76</v>
      </c>
      <c r="D12" s="385" t="s">
        <v>548</v>
      </c>
      <c r="E12" s="385">
        <v>0</v>
      </c>
      <c r="F12" s="526"/>
      <c r="G12" s="670"/>
      <c r="H12" s="376"/>
    </row>
    <row r="13" spans="1:8" s="14" customFormat="1" ht="15.75" x14ac:dyDescent="0.25">
      <c r="A13" s="688"/>
      <c r="B13" s="379"/>
      <c r="C13" s="379" t="s">
        <v>71</v>
      </c>
      <c r="D13" s="385" t="s">
        <v>548</v>
      </c>
      <c r="E13" s="385">
        <v>0</v>
      </c>
      <c r="F13" s="526"/>
      <c r="G13" s="525"/>
      <c r="H13" s="376"/>
    </row>
    <row r="14" spans="1:8" s="14" customFormat="1" x14ac:dyDescent="0.25">
      <c r="A14" s="688"/>
      <c r="B14" s="379"/>
      <c r="C14" s="379"/>
      <c r="D14" s="385" t="s">
        <v>548</v>
      </c>
      <c r="E14" s="385"/>
      <c r="F14" s="526"/>
      <c r="G14" s="689"/>
      <c r="H14" s="376"/>
    </row>
    <row r="15" spans="1:8" s="14" customFormat="1" ht="15.75" x14ac:dyDescent="0.25">
      <c r="A15" s="687"/>
      <c r="B15" s="670"/>
      <c r="C15" s="670" t="s">
        <v>10</v>
      </c>
      <c r="D15" s="385" t="s">
        <v>548</v>
      </c>
      <c r="E15" s="385">
        <v>0</v>
      </c>
      <c r="F15" s="526"/>
      <c r="G15" s="689"/>
      <c r="H15" s="376"/>
    </row>
    <row r="16" spans="1:8" s="14" customFormat="1" ht="15.75" x14ac:dyDescent="0.25">
      <c r="A16" s="687"/>
      <c r="B16" s="670"/>
      <c r="C16" s="379" t="s">
        <v>36</v>
      </c>
      <c r="D16" s="385" t="s">
        <v>548</v>
      </c>
      <c r="E16" s="385">
        <v>0</v>
      </c>
      <c r="F16" s="526"/>
      <c r="G16" s="670"/>
      <c r="H16" s="376"/>
    </row>
    <row r="17" spans="1:14" s="14" customFormat="1" ht="15.75" x14ac:dyDescent="0.25">
      <c r="A17" s="687"/>
      <c r="B17" s="670"/>
      <c r="C17" s="670" t="s">
        <v>65</v>
      </c>
      <c r="D17" s="385" t="s">
        <v>548</v>
      </c>
      <c r="E17" s="385">
        <v>0</v>
      </c>
      <c r="F17" s="526"/>
      <c r="G17" s="689"/>
      <c r="H17" s="376"/>
    </row>
    <row r="18" spans="1:14" s="14" customFormat="1" x14ac:dyDescent="0.25">
      <c r="A18" s="688"/>
      <c r="B18" s="379"/>
      <c r="C18" s="379"/>
      <c r="D18" s="385"/>
      <c r="E18" s="385"/>
      <c r="F18" s="526"/>
      <c r="G18" s="689"/>
      <c r="H18" s="376"/>
    </row>
    <row r="19" spans="1:14" s="14" customFormat="1" ht="31.5" x14ac:dyDescent="0.25">
      <c r="A19" s="688"/>
      <c r="B19" s="670"/>
      <c r="C19" s="670" t="s">
        <v>77</v>
      </c>
      <c r="D19" s="671">
        <f>10226/1000</f>
        <v>10.226000000000001</v>
      </c>
      <c r="E19" s="690" t="s">
        <v>147</v>
      </c>
      <c r="F19" s="526">
        <f>+D19</f>
        <v>10.226000000000001</v>
      </c>
      <c r="G19" s="375" t="s">
        <v>146</v>
      </c>
      <c r="H19" s="376"/>
      <c r="K19" s="168"/>
      <c r="L19" s="169"/>
      <c r="M19" s="169"/>
      <c r="N19" s="170"/>
    </row>
    <row r="20" spans="1:14" s="14" customFormat="1" ht="15.75" x14ac:dyDescent="0.25">
      <c r="A20" s="688"/>
      <c r="B20" s="670"/>
      <c r="C20" s="670" t="s">
        <v>72</v>
      </c>
      <c r="D20" s="385" t="s">
        <v>548</v>
      </c>
      <c r="E20" s="385"/>
      <c r="F20" s="526"/>
      <c r="G20" s="375"/>
      <c r="H20" s="376"/>
    </row>
    <row r="21" spans="1:14" s="14" customFormat="1" ht="31.5" x14ac:dyDescent="0.25">
      <c r="A21" s="688"/>
      <c r="B21" s="670"/>
      <c r="C21" s="670" t="s">
        <v>73</v>
      </c>
      <c r="D21" s="385" t="s">
        <v>548</v>
      </c>
      <c r="E21" s="385"/>
      <c r="F21" s="526"/>
      <c r="G21" s="375"/>
      <c r="H21" s="376"/>
    </row>
    <row r="22" spans="1:14" s="14" customFormat="1" ht="15.75" x14ac:dyDescent="0.25">
      <c r="A22" s="688"/>
      <c r="B22" s="670"/>
      <c r="C22" s="670" t="s">
        <v>74</v>
      </c>
      <c r="D22" s="385" t="s">
        <v>548</v>
      </c>
      <c r="E22" s="385"/>
      <c r="F22" s="526"/>
      <c r="G22" s="375"/>
      <c r="H22" s="376"/>
    </row>
    <row r="23" spans="1:14" s="14" customFormat="1" ht="15.75" x14ac:dyDescent="0.25">
      <c r="A23" s="688"/>
      <c r="B23" s="670"/>
      <c r="C23" s="670"/>
      <c r="D23" s="385"/>
      <c r="E23" s="385"/>
      <c r="F23" s="526"/>
      <c r="G23" s="375"/>
      <c r="H23" s="376"/>
    </row>
    <row r="24" spans="1:14" s="14" customFormat="1" ht="94.5" x14ac:dyDescent="0.25">
      <c r="A24" s="688"/>
      <c r="B24" s="670"/>
      <c r="C24" s="670" t="s">
        <v>45</v>
      </c>
      <c r="D24" s="385">
        <v>70</v>
      </c>
      <c r="E24" s="385">
        <v>0</v>
      </c>
      <c r="F24" s="526">
        <f>+D24</f>
        <v>70</v>
      </c>
      <c r="G24" s="375" t="s">
        <v>505</v>
      </c>
      <c r="H24" s="376"/>
    </row>
    <row r="25" spans="1:14" s="14" customFormat="1" ht="15.75" x14ac:dyDescent="0.25">
      <c r="A25" s="688"/>
      <c r="B25" s="670"/>
      <c r="C25" s="670"/>
      <c r="D25" s="385"/>
      <c r="E25" s="385"/>
      <c r="F25" s="526"/>
      <c r="G25" s="375"/>
      <c r="H25" s="376"/>
    </row>
    <row r="26" spans="1:14" s="14" customFormat="1" ht="47.25" x14ac:dyDescent="0.25">
      <c r="A26" s="688"/>
      <c r="B26" s="670"/>
      <c r="C26" s="685" t="s">
        <v>686</v>
      </c>
      <c r="D26" s="699" t="s">
        <v>548</v>
      </c>
      <c r="E26" s="385"/>
      <c r="F26" s="526"/>
      <c r="G26" s="375"/>
      <c r="H26" s="376"/>
    </row>
    <row r="27" spans="1:14" s="14" customFormat="1" ht="31.5" x14ac:dyDescent="0.25">
      <c r="A27" s="687"/>
      <c r="B27" s="670"/>
      <c r="C27" s="670" t="s">
        <v>75</v>
      </c>
      <c r="D27" s="385" t="s">
        <v>548</v>
      </c>
      <c r="E27" s="385">
        <v>0</v>
      </c>
      <c r="F27" s="526"/>
      <c r="G27" s="689"/>
      <c r="H27" s="376"/>
    </row>
    <row r="28" spans="1:14" s="14" customFormat="1" ht="15.75" x14ac:dyDescent="0.25">
      <c r="A28" s="681" t="s">
        <v>27</v>
      </c>
      <c r="B28" s="672"/>
      <c r="C28" s="672"/>
      <c r="D28" s="673"/>
      <c r="E28" s="673"/>
      <c r="F28" s="682"/>
      <c r="G28" s="683"/>
      <c r="H28" s="376"/>
    </row>
    <row r="29" spans="1:14" s="14" customFormat="1" x14ac:dyDescent="0.25">
      <c r="A29" s="688"/>
      <c r="B29" s="898" t="s">
        <v>17</v>
      </c>
      <c r="C29" s="705"/>
      <c r="D29" s="706"/>
      <c r="E29" s="706"/>
      <c r="F29" s="707"/>
      <c r="G29" s="683"/>
      <c r="H29" s="376"/>
    </row>
    <row r="30" spans="1:14" s="173" customFormat="1" ht="31.5" x14ac:dyDescent="0.25">
      <c r="A30" s="691"/>
      <c r="B30" s="1034"/>
      <c r="C30" s="1035" t="s">
        <v>801</v>
      </c>
      <c r="D30" s="675">
        <f>+'SDE&amp;MEP tm 2012'!D23*0.75</f>
        <v>110.25</v>
      </c>
      <c r="E30" s="675">
        <f>+'SDE&amp;MEP tm 2012'!D23*0.25</f>
        <v>36.75</v>
      </c>
      <c r="F30" s="526">
        <f>+D30+E30</f>
        <v>147</v>
      </c>
      <c r="G30" s="375" t="s">
        <v>488</v>
      </c>
      <c r="H30" s="692"/>
    </row>
    <row r="31" spans="1:14" s="173" customFormat="1" ht="15.75" x14ac:dyDescent="0.25">
      <c r="A31" s="691"/>
      <c r="B31" s="1034"/>
      <c r="C31" s="873" t="s">
        <v>233</v>
      </c>
      <c r="D31" s="385" t="s">
        <v>548</v>
      </c>
      <c r="E31" s="385" t="s">
        <v>548</v>
      </c>
      <c r="F31" s="385"/>
      <c r="G31" s="375"/>
      <c r="H31" s="692"/>
    </row>
    <row r="32" spans="1:14" s="14" customFormat="1" x14ac:dyDescent="0.25">
      <c r="A32" s="688"/>
      <c r="B32" s="1744" t="s">
        <v>218</v>
      </c>
      <c r="C32" s="1745"/>
      <c r="D32" s="899"/>
      <c r="E32" s="899"/>
      <c r="F32" s="900"/>
      <c r="G32" s="683"/>
      <c r="H32" s="376"/>
    </row>
    <row r="33" spans="1:14" s="173" customFormat="1" ht="30" x14ac:dyDescent="0.25">
      <c r="A33" s="691"/>
      <c r="B33" s="172"/>
      <c r="C33" s="888" t="s">
        <v>802</v>
      </c>
      <c r="D33" s="7">
        <f>+'SDE&amp;MEP tm 2012'!D24*0.75</f>
        <v>3032.7749999999996</v>
      </c>
      <c r="E33" s="7">
        <f>+'SDE&amp;MEP tm 2012'!D24*0.25</f>
        <v>1010.925</v>
      </c>
      <c r="F33" s="679">
        <f>+D33+E33</f>
        <v>4043.7</v>
      </c>
      <c r="G33" s="375" t="s">
        <v>488</v>
      </c>
      <c r="H33" s="692"/>
      <c r="N33" s="14"/>
    </row>
    <row r="34" spans="1:14" s="14" customFormat="1" ht="30" x14ac:dyDescent="0.25">
      <c r="A34" s="688"/>
      <c r="B34" s="165"/>
      <c r="C34" s="873" t="s">
        <v>491</v>
      </c>
      <c r="D34" s="680">
        <f>+Wind!S31</f>
        <v>2095.5120000000002</v>
      </c>
      <c r="E34" s="680">
        <f>+Wind!S46</f>
        <v>5533.5240000000022</v>
      </c>
      <c r="F34" s="526">
        <f>+D34+E34</f>
        <v>7629.0360000000019</v>
      </c>
      <c r="G34" s="693" t="s">
        <v>492</v>
      </c>
      <c r="H34" s="376"/>
    </row>
    <row r="35" spans="1:14" s="14" customFormat="1" x14ac:dyDescent="0.25">
      <c r="A35" s="688"/>
      <c r="B35" s="1036" t="s">
        <v>217</v>
      </c>
      <c r="C35" s="977"/>
      <c r="D35" s="706"/>
      <c r="E35" s="706"/>
      <c r="F35" s="707"/>
      <c r="G35" s="683"/>
      <c r="H35" s="376"/>
    </row>
    <row r="36" spans="1:14" s="173" customFormat="1" ht="30" x14ac:dyDescent="0.25">
      <c r="A36" s="691"/>
      <c r="B36" s="678"/>
      <c r="C36" s="888" t="s">
        <v>857</v>
      </c>
      <c r="D36" s="1133">
        <f>0.2*'SDE&amp;MEP tm 2012'!D25</f>
        <v>156.16999999999999</v>
      </c>
      <c r="E36" s="166">
        <f>+D36*0.8/0.2</f>
        <v>624.67999999999995</v>
      </c>
      <c r="F36" s="166">
        <f>+D36+E36</f>
        <v>780.84999999999991</v>
      </c>
      <c r="G36" s="1134" t="s">
        <v>488</v>
      </c>
      <c r="H36" s="692"/>
    </row>
    <row r="37" spans="1:14" s="14" customFormat="1" x14ac:dyDescent="0.25">
      <c r="A37" s="688"/>
      <c r="B37" s="379"/>
      <c r="C37" s="873" t="s">
        <v>506</v>
      </c>
      <c r="D37" s="1135">
        <f>+Wind!S83</f>
        <v>1791.9330000000002</v>
      </c>
      <c r="E37" s="1135">
        <f>+Wind!S101</f>
        <v>9459.6059999999998</v>
      </c>
      <c r="F37" s="166">
        <f>+D37+E37</f>
        <v>11251.539000000001</v>
      </c>
      <c r="G37" s="1136" t="s">
        <v>858</v>
      </c>
      <c r="H37" s="376"/>
    </row>
    <row r="38" spans="1:14" s="14" customFormat="1" x14ac:dyDescent="0.25">
      <c r="A38" s="688"/>
      <c r="B38" s="379"/>
      <c r="C38" s="873" t="s">
        <v>1014</v>
      </c>
      <c r="D38" s="1135">
        <f>+Uitgangspunten!B17</f>
        <v>3000</v>
      </c>
      <c r="E38" s="1137">
        <v>0</v>
      </c>
      <c r="F38" s="166">
        <f>+D38+E38</f>
        <v>3000</v>
      </c>
      <c r="G38" s="1136" t="s">
        <v>900</v>
      </c>
      <c r="H38" s="376"/>
    </row>
    <row r="39" spans="1:14" s="14" customFormat="1" x14ac:dyDescent="0.25">
      <c r="A39" s="688"/>
      <c r="B39" s="898" t="s">
        <v>268</v>
      </c>
      <c r="C39" s="977"/>
      <c r="D39" s="1138"/>
      <c r="E39" s="1138"/>
      <c r="F39" s="1139"/>
      <c r="G39" s="1140"/>
      <c r="H39" s="376"/>
    </row>
    <row r="40" spans="1:14" s="173" customFormat="1" ht="30" x14ac:dyDescent="0.25">
      <c r="A40" s="691"/>
      <c r="B40" s="694"/>
      <c r="C40" s="6" t="s">
        <v>800</v>
      </c>
      <c r="D40" s="679">
        <f>+'SDE&amp;MEP tm 2012'!D26*0.5</f>
        <v>126.5</v>
      </c>
      <c r="E40" s="676">
        <f>+D40</f>
        <v>126.5</v>
      </c>
      <c r="F40" s="526">
        <f>+D40+E40</f>
        <v>253</v>
      </c>
      <c r="G40" s="375" t="s">
        <v>488</v>
      </c>
      <c r="H40" s="692"/>
    </row>
    <row r="41" spans="1:14" s="173" customFormat="1" ht="30" x14ac:dyDescent="0.25">
      <c r="A41" s="691"/>
      <c r="B41" s="694"/>
      <c r="C41" s="677" t="s">
        <v>493</v>
      </c>
      <c r="D41" s="679">
        <f>+' PV'!P68</f>
        <v>146.85</v>
      </c>
      <c r="E41" s="676">
        <f>+' PV'!P83</f>
        <v>384.99999999999994</v>
      </c>
      <c r="F41" s="526">
        <f>+D41+E41</f>
        <v>531.84999999999991</v>
      </c>
      <c r="G41" s="375" t="s">
        <v>254</v>
      </c>
      <c r="H41" s="692"/>
    </row>
    <row r="42" spans="1:14" s="14" customFormat="1" x14ac:dyDescent="0.25">
      <c r="A42" s="688"/>
      <c r="B42" s="898" t="s">
        <v>230</v>
      </c>
      <c r="C42" s="705"/>
      <c r="D42" s="706"/>
      <c r="E42" s="706"/>
      <c r="F42" s="707"/>
      <c r="G42" s="683"/>
      <c r="H42" s="376"/>
    </row>
    <row r="43" spans="1:14" s="173" customFormat="1" ht="30" x14ac:dyDescent="0.25">
      <c r="A43" s="691"/>
      <c r="B43" s="694"/>
      <c r="C43" s="6" t="s">
        <v>800</v>
      </c>
      <c r="D43" s="679">
        <f>+'SDE&amp;MEP tm 2012'!D27*0.5</f>
        <v>0</v>
      </c>
      <c r="E43" s="676">
        <f>+D43</f>
        <v>0</v>
      </c>
      <c r="F43" s="526">
        <f>+D43+E43</f>
        <v>0</v>
      </c>
      <c r="G43" s="375" t="s">
        <v>488</v>
      </c>
      <c r="H43" s="692"/>
    </row>
    <row r="44" spans="1:14" s="173" customFormat="1" ht="15.75" x14ac:dyDescent="0.25">
      <c r="A44" s="691"/>
      <c r="B44" s="694"/>
      <c r="C44" s="677" t="s">
        <v>325</v>
      </c>
      <c r="D44" s="675">
        <f>+Warmte!F17</f>
        <v>40.333333333333336</v>
      </c>
      <c r="E44" s="690">
        <f>+Warmte!F32</f>
        <v>110.91666666666666</v>
      </c>
      <c r="F44" s="679">
        <f>+D44+E44</f>
        <v>151.25</v>
      </c>
      <c r="G44" s="375" t="s">
        <v>330</v>
      </c>
      <c r="H44" s="692"/>
    </row>
    <row r="45" spans="1:14" s="14" customFormat="1" x14ac:dyDescent="0.25">
      <c r="A45" s="688"/>
      <c r="B45" s="901" t="s">
        <v>41</v>
      </c>
      <c r="C45" s="902"/>
      <c r="D45" s="706"/>
      <c r="E45" s="706"/>
      <c r="F45" s="707"/>
      <c r="G45" s="683"/>
      <c r="H45" s="376"/>
    </row>
    <row r="46" spans="1:14" ht="30" x14ac:dyDescent="0.25">
      <c r="A46" s="695"/>
      <c r="B46" s="696"/>
      <c r="C46" s="6" t="s">
        <v>800</v>
      </c>
      <c r="D46" s="385">
        <f>+'SDE&amp;MEP tm 2012'!D28*0.5</f>
        <v>0</v>
      </c>
      <c r="E46" s="385">
        <f>+D46</f>
        <v>0</v>
      </c>
      <c r="F46" s="526">
        <f>+D46+E46</f>
        <v>0</v>
      </c>
      <c r="G46" s="375" t="s">
        <v>488</v>
      </c>
      <c r="H46" s="291"/>
    </row>
    <row r="47" spans="1:14" s="173" customFormat="1" ht="15.75" x14ac:dyDescent="0.25">
      <c r="A47" s="691"/>
      <c r="B47" s="694"/>
      <c r="C47" s="677" t="s">
        <v>329</v>
      </c>
      <c r="D47" s="675">
        <f>+Warmte!F52</f>
        <v>274.99999999999994</v>
      </c>
      <c r="E47" s="690">
        <f>+Warmte!F67</f>
        <v>756.24999999999989</v>
      </c>
      <c r="F47" s="679">
        <f>+D47+E47</f>
        <v>1031.2499999999998</v>
      </c>
      <c r="G47" s="375" t="s">
        <v>330</v>
      </c>
      <c r="H47" s="692"/>
    </row>
    <row r="48" spans="1:14" s="173" customFormat="1" x14ac:dyDescent="0.25">
      <c r="A48" s="691"/>
      <c r="B48" s="694"/>
      <c r="C48" s="697" t="s">
        <v>42</v>
      </c>
      <c r="D48" s="698" t="s">
        <v>231</v>
      </c>
      <c r="E48" s="699"/>
      <c r="F48" s="526"/>
      <c r="G48" s="375" t="s">
        <v>43</v>
      </c>
      <c r="H48" s="692"/>
    </row>
    <row r="49" spans="1:14" s="14" customFormat="1" x14ac:dyDescent="0.25">
      <c r="A49" s="688"/>
      <c r="B49" s="901" t="s">
        <v>228</v>
      </c>
      <c r="C49" s="902"/>
      <c r="D49" s="706"/>
      <c r="E49" s="706"/>
      <c r="F49" s="707"/>
      <c r="G49" s="683"/>
      <c r="H49" s="376"/>
    </row>
    <row r="50" spans="1:14" s="173" customFormat="1" ht="30" x14ac:dyDescent="0.25">
      <c r="A50" s="691"/>
      <c r="B50" s="694"/>
      <c r="C50" s="6" t="s">
        <v>800</v>
      </c>
      <c r="D50" s="698" t="s">
        <v>336</v>
      </c>
      <c r="E50" s="699"/>
      <c r="F50" s="679"/>
      <c r="G50" s="375"/>
      <c r="H50" s="692"/>
    </row>
    <row r="51" spans="1:14" s="173" customFormat="1" ht="15.75" x14ac:dyDescent="0.25">
      <c r="A51" s="691"/>
      <c r="B51" s="694"/>
      <c r="C51" s="677" t="s">
        <v>329</v>
      </c>
      <c r="D51" s="675">
        <f>+Warmte!F88</f>
        <v>88.888888888888886</v>
      </c>
      <c r="E51" s="690">
        <f>+Warmte!F103</f>
        <v>244.44444444444451</v>
      </c>
      <c r="F51" s="679">
        <f>+D51+E51</f>
        <v>333.33333333333337</v>
      </c>
      <c r="G51" s="375" t="s">
        <v>330</v>
      </c>
      <c r="H51" s="692"/>
    </row>
    <row r="52" spans="1:14" s="14" customFormat="1" x14ac:dyDescent="0.25">
      <c r="A52" s="688"/>
      <c r="B52" s="901" t="s">
        <v>232</v>
      </c>
      <c r="C52" s="902"/>
      <c r="D52" s="706"/>
      <c r="E52" s="706"/>
      <c r="F52" s="707"/>
      <c r="G52" s="683"/>
      <c r="H52" s="376"/>
      <c r="K52" s="175"/>
    </row>
    <row r="53" spans="1:14" s="14" customFormat="1" ht="30" x14ac:dyDescent="0.25">
      <c r="A53" s="688"/>
      <c r="B53" s="384"/>
      <c r="C53" s="700" t="s">
        <v>494</v>
      </c>
      <c r="D53" s="679">
        <f>+'SDE&amp;MEP tm 2012'!D30</f>
        <v>10275.450000000001</v>
      </c>
      <c r="E53" s="385">
        <v>0</v>
      </c>
      <c r="F53" s="526">
        <f>+D53+E53</f>
        <v>10275.450000000001</v>
      </c>
      <c r="G53" s="375" t="s">
        <v>488</v>
      </c>
      <c r="H53" s="376"/>
      <c r="M53" s="175"/>
      <c r="N53" s="175"/>
    </row>
    <row r="54" spans="1:14" s="14" customFormat="1" x14ac:dyDescent="0.25">
      <c r="A54" s="688"/>
      <c r="B54" s="384"/>
      <c r="C54" s="700" t="s">
        <v>496</v>
      </c>
      <c r="D54" s="526">
        <f>+Biomassa!P31</f>
        <v>2381.166666666667</v>
      </c>
      <c r="E54" s="526">
        <f>+Biomassa!P46</f>
        <v>5547.0277777777774</v>
      </c>
      <c r="F54" s="526">
        <f>+D54+E54</f>
        <v>7928.1944444444443</v>
      </c>
      <c r="G54" s="375" t="s">
        <v>342</v>
      </c>
      <c r="H54" s="376"/>
      <c r="M54" s="175"/>
      <c r="N54" s="175"/>
    </row>
    <row r="55" spans="1:14" s="14" customFormat="1" x14ac:dyDescent="0.25">
      <c r="A55" s="688"/>
      <c r="B55" s="384"/>
      <c r="C55" s="700" t="s">
        <v>495</v>
      </c>
      <c r="D55" s="526">
        <f>+Biomassa!F66</f>
        <v>1229.8599999999997</v>
      </c>
      <c r="E55" s="526">
        <f>+Biomassa!F81</f>
        <v>3372.0450000000001</v>
      </c>
      <c r="F55" s="526">
        <f>+D55+E55</f>
        <v>4601.9049999999997</v>
      </c>
      <c r="G55" s="375" t="s">
        <v>342</v>
      </c>
      <c r="H55" s="376"/>
      <c r="M55" s="175"/>
      <c r="N55" s="175"/>
    </row>
    <row r="56" spans="1:14" s="14" customFormat="1" ht="15.75" x14ac:dyDescent="0.25">
      <c r="A56" s="681" t="s">
        <v>549</v>
      </c>
      <c r="B56" s="672"/>
      <c r="C56" s="701"/>
      <c r="D56" s="673"/>
      <c r="E56" s="673"/>
      <c r="F56" s="682"/>
      <c r="G56" s="683"/>
      <c r="H56" s="376"/>
    </row>
    <row r="57" spans="1:14" s="14" customFormat="1" ht="15.75" x14ac:dyDescent="0.25">
      <c r="A57" s="10"/>
      <c r="B57" s="903" t="s">
        <v>0</v>
      </c>
      <c r="C57" s="705"/>
      <c r="D57" s="706"/>
      <c r="E57" s="706"/>
      <c r="F57" s="707"/>
      <c r="G57" s="683"/>
      <c r="H57" s="376"/>
    </row>
    <row r="58" spans="1:14" s="14" customFormat="1" ht="15.75" x14ac:dyDescent="0.25">
      <c r="A58" s="702"/>
      <c r="B58" s="703"/>
      <c r="C58" s="704" t="s">
        <v>220</v>
      </c>
      <c r="D58" s="690">
        <f>+' PV'!G116</f>
        <v>1323.261027857335</v>
      </c>
      <c r="E58" s="690">
        <f>+' PV'!G131</f>
        <v>3959.9999999999995</v>
      </c>
      <c r="F58" s="526">
        <f>+D58+E58</f>
        <v>5283.2610278573347</v>
      </c>
      <c r="G58" s="686" t="s">
        <v>253</v>
      </c>
      <c r="H58" s="376"/>
      <c r="I58" s="176"/>
      <c r="J58" s="177"/>
      <c r="L58" s="177"/>
    </row>
    <row r="59" spans="1:14" s="14" customFormat="1" ht="63" x14ac:dyDescent="0.25">
      <c r="A59" s="702"/>
      <c r="B59" s="703"/>
      <c r="C59" s="674" t="s">
        <v>39</v>
      </c>
      <c r="D59" s="385" t="s">
        <v>142</v>
      </c>
      <c r="E59" s="385" t="s">
        <v>142</v>
      </c>
      <c r="F59" s="526"/>
      <c r="G59" s="686"/>
      <c r="H59" s="376"/>
    </row>
    <row r="60" spans="1:14" s="14" customFormat="1" ht="15.75" x14ac:dyDescent="0.25">
      <c r="A60" s="702"/>
      <c r="B60" s="703"/>
      <c r="C60" s="674" t="s">
        <v>362</v>
      </c>
      <c r="D60" s="526">
        <f>+' PV'!J116</f>
        <v>638.86490373903541</v>
      </c>
      <c r="E60" s="526">
        <f>+' PV'!J131</f>
        <v>1979.9999999999998</v>
      </c>
      <c r="F60" s="526">
        <f>SUM(D60:E60)</f>
        <v>2618.8649037390351</v>
      </c>
      <c r="G60" s="686" t="s">
        <v>253</v>
      </c>
      <c r="H60" s="376"/>
    </row>
    <row r="61" spans="1:14" s="14" customFormat="1" ht="15.75" x14ac:dyDescent="0.25">
      <c r="A61" s="681" t="s">
        <v>2</v>
      </c>
      <c r="B61" s="672"/>
      <c r="C61" s="705"/>
      <c r="D61" s="706"/>
      <c r="E61" s="706"/>
      <c r="F61" s="707"/>
      <c r="G61" s="683"/>
      <c r="H61" s="376"/>
    </row>
    <row r="62" spans="1:14" s="173" customFormat="1" ht="45" x14ac:dyDescent="0.25">
      <c r="A62" s="684"/>
      <c r="B62" s="685"/>
      <c r="C62" s="6" t="s">
        <v>688</v>
      </c>
      <c r="D62" s="679">
        <f>+Uitgangspunten!B49</f>
        <v>4000</v>
      </c>
      <c r="E62" s="699">
        <v>0</v>
      </c>
      <c r="F62" s="526">
        <f>SUM(D62:E62)</f>
        <v>4000</v>
      </c>
      <c r="G62" s="686" t="s">
        <v>689</v>
      </c>
      <c r="H62" s="692"/>
    </row>
    <row r="63" spans="1:14" s="14" customFormat="1" ht="47.25" x14ac:dyDescent="0.25">
      <c r="A63" s="688"/>
      <c r="B63" s="670"/>
      <c r="C63" s="525" t="s">
        <v>550</v>
      </c>
      <c r="D63" s="166">
        <f>+Wind!E118</f>
        <v>1379.1354375000001</v>
      </c>
      <c r="E63" s="166">
        <f>+Wind!E133</f>
        <v>8273.9741437499997</v>
      </c>
      <c r="F63" s="166">
        <f>+D63+E63</f>
        <v>9653.1095812499989</v>
      </c>
      <c r="G63" s="689" t="s">
        <v>387</v>
      </c>
      <c r="H63" s="376"/>
    </row>
    <row r="64" spans="1:14" s="14" customFormat="1" ht="31.5" x14ac:dyDescent="0.25">
      <c r="A64" s="688"/>
      <c r="B64" s="670"/>
      <c r="C64" s="525" t="s">
        <v>395</v>
      </c>
      <c r="D64" s="385" t="s">
        <v>396</v>
      </c>
      <c r="E64" s="385" t="s">
        <v>396</v>
      </c>
      <c r="F64" s="526"/>
      <c r="G64" s="689"/>
      <c r="H64" s="376"/>
    </row>
    <row r="65" spans="1:15" s="14" customFormat="1" ht="15.75" x14ac:dyDescent="0.25">
      <c r="A65" s="688"/>
      <c r="B65" s="670"/>
      <c r="C65" s="525" t="s">
        <v>364</v>
      </c>
      <c r="D65" s="526">
        <f>+Uitgangspunten!B50</f>
        <v>2500</v>
      </c>
      <c r="E65" s="385" t="s">
        <v>40</v>
      </c>
      <c r="F65" s="526">
        <f>SUM(D65:E65)</f>
        <v>2500</v>
      </c>
      <c r="G65" s="689" t="s">
        <v>365</v>
      </c>
      <c r="H65" s="376"/>
    </row>
    <row r="66" spans="1:15" s="14" customFormat="1" ht="15.75" x14ac:dyDescent="0.25">
      <c r="A66" s="681" t="s">
        <v>269</v>
      </c>
      <c r="B66" s="672"/>
      <c r="C66" s="701"/>
      <c r="D66" s="673"/>
      <c r="E66" s="673"/>
      <c r="F66" s="682"/>
      <c r="G66" s="683"/>
      <c r="H66" s="376"/>
    </row>
    <row r="67" spans="1:15" s="173" customFormat="1" ht="31.5" x14ac:dyDescent="0.25">
      <c r="A67" s="708"/>
      <c r="B67" s="685"/>
      <c r="C67" s="704" t="s">
        <v>38</v>
      </c>
      <c r="D67" s="385" t="s">
        <v>548</v>
      </c>
      <c r="E67" s="385" t="s">
        <v>548</v>
      </c>
      <c r="F67" s="526"/>
      <c r="G67" s="686" t="s">
        <v>35</v>
      </c>
      <c r="H67" s="692"/>
    </row>
    <row r="68" spans="1:15" s="173" customFormat="1" ht="31.5" x14ac:dyDescent="0.25">
      <c r="A68" s="708"/>
      <c r="B68" s="685"/>
      <c r="C68" s="704" t="s">
        <v>551</v>
      </c>
      <c r="D68" s="385">
        <f>+Uitgangspunten!B52</f>
        <v>624</v>
      </c>
      <c r="E68" s="385">
        <v>0</v>
      </c>
      <c r="F68" s="526">
        <f>+D68+E68</f>
        <v>624</v>
      </c>
      <c r="G68" s="375" t="s">
        <v>48</v>
      </c>
      <c r="H68" s="692"/>
    </row>
    <row r="69" spans="1:15" s="14" customFormat="1" ht="15.75" x14ac:dyDescent="0.25">
      <c r="A69" s="681" t="s">
        <v>3</v>
      </c>
      <c r="B69" s="672"/>
      <c r="C69" s="701"/>
      <c r="D69" s="673"/>
      <c r="E69" s="673"/>
      <c r="F69" s="682"/>
      <c r="G69" s="683"/>
      <c r="H69" s="376"/>
    </row>
    <row r="70" spans="1:15" s="173" customFormat="1" ht="45" x14ac:dyDescent="0.25">
      <c r="A70" s="708"/>
      <c r="B70" s="685"/>
      <c r="C70" s="686" t="s">
        <v>25</v>
      </c>
      <c r="D70" s="385">
        <v>0</v>
      </c>
      <c r="E70" s="385">
        <v>0</v>
      </c>
      <c r="F70" s="526">
        <f>+D70+E70</f>
        <v>0</v>
      </c>
      <c r="G70" s="678" t="s">
        <v>552</v>
      </c>
      <c r="H70" s="692"/>
      <c r="I70" s="10" t="s">
        <v>556</v>
      </c>
    </row>
    <row r="71" spans="1:15" s="173" customFormat="1" ht="15.75" x14ac:dyDescent="0.25">
      <c r="A71" s="708"/>
      <c r="B71" s="685"/>
      <c r="C71" s="686" t="s">
        <v>79</v>
      </c>
      <c r="D71" s="709">
        <f>+O71/1000</f>
        <v>91.671000000000006</v>
      </c>
      <c r="E71" s="385"/>
      <c r="F71" s="526">
        <f>+D71+E71</f>
        <v>91.671000000000006</v>
      </c>
      <c r="G71" s="375" t="s">
        <v>78</v>
      </c>
      <c r="H71" s="692"/>
      <c r="I71" s="169">
        <v>38047</v>
      </c>
      <c r="J71" s="169">
        <v>19557</v>
      </c>
      <c r="K71" s="169">
        <v>8915</v>
      </c>
      <c r="L71" s="169">
        <v>7242</v>
      </c>
      <c r="M71" s="169">
        <v>8955</v>
      </c>
      <c r="N71" s="169">
        <v>8955</v>
      </c>
      <c r="O71" s="178">
        <f>SUM(I71:N71)</f>
        <v>91671</v>
      </c>
    </row>
    <row r="72" spans="1:15" s="14" customFormat="1" ht="15.75" x14ac:dyDescent="0.25">
      <c r="A72" s="681" t="s">
        <v>270</v>
      </c>
      <c r="B72" s="672"/>
      <c r="C72" s="701"/>
      <c r="D72" s="706"/>
      <c r="E72" s="706"/>
      <c r="F72" s="707"/>
      <c r="G72" s="683"/>
      <c r="H72" s="376"/>
    </row>
    <row r="73" spans="1:15" s="173" customFormat="1" ht="135" x14ac:dyDescent="0.25">
      <c r="A73" s="708"/>
      <c r="B73" s="685"/>
      <c r="C73" s="686" t="s">
        <v>50</v>
      </c>
      <c r="D73" s="385" t="s">
        <v>548</v>
      </c>
      <c r="E73" s="385" t="s">
        <v>548</v>
      </c>
      <c r="F73" s="526"/>
      <c r="G73" s="678" t="s">
        <v>285</v>
      </c>
      <c r="H73" s="692"/>
    </row>
    <row r="74" spans="1:15" s="14" customFormat="1" ht="15.75" x14ac:dyDescent="0.25">
      <c r="A74" s="687"/>
      <c r="B74" s="670"/>
      <c r="C74" s="525" t="s">
        <v>263</v>
      </c>
      <c r="D74" s="526">
        <f>+Vervoer!M85+Vervoer!M93</f>
        <v>1805.1890009212839</v>
      </c>
      <c r="E74" s="671">
        <f>+Vervoer!M108</f>
        <v>4437.5535548253674</v>
      </c>
      <c r="F74" s="526">
        <f>+D74+E74</f>
        <v>6242.7425557466513</v>
      </c>
      <c r="G74" s="693" t="s">
        <v>194</v>
      </c>
      <c r="H74" s="376"/>
    </row>
    <row r="75" spans="1:15" s="173" customFormat="1" ht="45" x14ac:dyDescent="0.25">
      <c r="A75" s="708"/>
      <c r="B75" s="685"/>
      <c r="C75" s="686" t="s">
        <v>60</v>
      </c>
      <c r="D75" s="385" t="s">
        <v>176</v>
      </c>
      <c r="E75" s="385" t="s">
        <v>548</v>
      </c>
      <c r="F75" s="526"/>
      <c r="G75" s="686"/>
      <c r="H75" s="692"/>
    </row>
    <row r="76" spans="1:15" s="173" customFormat="1" ht="15.75" x14ac:dyDescent="0.25">
      <c r="A76" s="708"/>
      <c r="B76" s="685"/>
      <c r="C76" s="686" t="s">
        <v>51</v>
      </c>
      <c r="D76" s="385" t="s">
        <v>548</v>
      </c>
      <c r="E76" s="385" t="s">
        <v>548</v>
      </c>
      <c r="F76" s="526"/>
      <c r="G76" s="686"/>
      <c r="H76" s="692"/>
    </row>
    <row r="77" spans="1:15" s="173" customFormat="1" ht="15.75" x14ac:dyDescent="0.25">
      <c r="A77" s="708"/>
      <c r="B77" s="685"/>
      <c r="C77" s="686" t="s">
        <v>52</v>
      </c>
      <c r="D77" s="385" t="s">
        <v>548</v>
      </c>
      <c r="E77" s="385" t="s">
        <v>548</v>
      </c>
      <c r="F77" s="526"/>
      <c r="G77" s="686"/>
      <c r="H77" s="692"/>
    </row>
    <row r="78" spans="1:15" s="173" customFormat="1" ht="15.75" x14ac:dyDescent="0.25">
      <c r="A78" s="708"/>
      <c r="B78" s="685"/>
      <c r="C78" s="686" t="s">
        <v>53</v>
      </c>
      <c r="D78" s="385" t="s">
        <v>548</v>
      </c>
      <c r="E78" s="385" t="s">
        <v>548</v>
      </c>
      <c r="F78" s="526"/>
      <c r="G78" s="686"/>
      <c r="H78" s="692"/>
    </row>
    <row r="79" spans="1:15" s="173" customFormat="1" ht="45" x14ac:dyDescent="0.25">
      <c r="A79" s="708"/>
      <c r="B79" s="685"/>
      <c r="C79" s="686" t="s">
        <v>54</v>
      </c>
      <c r="D79" s="385" t="s">
        <v>548</v>
      </c>
      <c r="E79" s="385" t="s">
        <v>548</v>
      </c>
      <c r="F79" s="526"/>
      <c r="G79" s="686"/>
      <c r="H79" s="692"/>
    </row>
    <row r="80" spans="1:15" s="173" customFormat="1" ht="60" x14ac:dyDescent="0.25">
      <c r="A80" s="708"/>
      <c r="B80" s="685"/>
      <c r="C80" s="686" t="s">
        <v>61</v>
      </c>
      <c r="D80" s="385" t="s">
        <v>548</v>
      </c>
      <c r="E80" s="385" t="s">
        <v>548</v>
      </c>
      <c r="F80" s="526" t="str">
        <f>+D80</f>
        <v>geen uitgaven in EA genoemd</v>
      </c>
      <c r="G80" s="686"/>
      <c r="H80" s="692"/>
    </row>
    <row r="81" spans="1:15" s="173" customFormat="1" ht="60" customHeight="1" x14ac:dyDescent="0.25">
      <c r="A81" s="708"/>
      <c r="B81" s="685"/>
      <c r="C81" s="686" t="s">
        <v>83</v>
      </c>
      <c r="D81" s="679">
        <f>+Vervoer!F24+Vervoer!F32</f>
        <v>7571.68</v>
      </c>
      <c r="E81" s="385" t="s">
        <v>140</v>
      </c>
      <c r="F81" s="526">
        <f>+D81</f>
        <v>7571.68</v>
      </c>
      <c r="G81" s="678" t="s">
        <v>553</v>
      </c>
      <c r="H81" s="692"/>
      <c r="I81" s="179"/>
    </row>
    <row r="82" spans="1:15" s="173" customFormat="1" ht="15.75" x14ac:dyDescent="0.25">
      <c r="A82" s="708"/>
      <c r="B82" s="685"/>
      <c r="C82" s="375" t="s">
        <v>55</v>
      </c>
      <c r="D82" s="385" t="s">
        <v>548</v>
      </c>
      <c r="E82" s="385" t="s">
        <v>548</v>
      </c>
      <c r="F82" s="526"/>
      <c r="G82" s="686"/>
      <c r="H82" s="692"/>
    </row>
    <row r="83" spans="1:15" s="173" customFormat="1" ht="15.75" x14ac:dyDescent="0.25">
      <c r="A83" s="708"/>
      <c r="B83" s="685"/>
      <c r="C83" s="375" t="s">
        <v>56</v>
      </c>
      <c r="D83" s="385" t="s">
        <v>548</v>
      </c>
      <c r="E83" s="385" t="s">
        <v>548</v>
      </c>
      <c r="F83" s="526"/>
      <c r="G83" s="686"/>
      <c r="H83" s="692"/>
    </row>
    <row r="84" spans="1:15" s="173" customFormat="1" ht="15.75" x14ac:dyDescent="0.25">
      <c r="A84" s="708"/>
      <c r="B84" s="685"/>
      <c r="C84" s="375" t="s">
        <v>57</v>
      </c>
      <c r="D84" s="385" t="s">
        <v>548</v>
      </c>
      <c r="E84" s="385" t="s">
        <v>548</v>
      </c>
      <c r="F84" s="526"/>
      <c r="G84" s="686"/>
      <c r="H84" s="692"/>
    </row>
    <row r="85" spans="1:15" s="173" customFormat="1" ht="30" x14ac:dyDescent="0.25">
      <c r="A85" s="708"/>
      <c r="B85" s="685"/>
      <c r="C85" s="375" t="s">
        <v>58</v>
      </c>
      <c r="D85" s="385">
        <f>1000*5000*8/10^6</f>
        <v>40</v>
      </c>
      <c r="E85" s="385" t="s">
        <v>140</v>
      </c>
      <c r="F85" s="526">
        <f>+D85</f>
        <v>40</v>
      </c>
      <c r="G85" s="375" t="s">
        <v>62</v>
      </c>
      <c r="H85" s="692"/>
    </row>
    <row r="86" spans="1:15" s="14" customFormat="1" ht="15.75" x14ac:dyDescent="0.25">
      <c r="A86" s="681" t="s">
        <v>28</v>
      </c>
      <c r="B86" s="672"/>
      <c r="C86" s="701"/>
      <c r="D86" s="673"/>
      <c r="E86" s="673"/>
      <c r="F86" s="682"/>
      <c r="G86" s="683"/>
      <c r="H86" s="376"/>
    </row>
    <row r="87" spans="1:15" s="14" customFormat="1" ht="15.75" x14ac:dyDescent="0.25">
      <c r="A87" s="681" t="s">
        <v>29</v>
      </c>
      <c r="B87" s="672"/>
      <c r="C87" s="705"/>
      <c r="D87" s="706"/>
      <c r="E87" s="706"/>
      <c r="F87" s="707"/>
      <c r="G87" s="683"/>
      <c r="H87" s="376"/>
    </row>
    <row r="88" spans="1:15" s="14" customFormat="1" ht="87.95" customHeight="1" x14ac:dyDescent="0.25">
      <c r="A88" s="708"/>
      <c r="B88" s="685"/>
      <c r="C88" s="888" t="s">
        <v>938</v>
      </c>
      <c r="D88" s="1124">
        <f>+Energiebesparing!F92</f>
        <v>2700</v>
      </c>
      <c r="E88" s="166">
        <v>0</v>
      </c>
      <c r="F88" s="166">
        <f>+D88+E88</f>
        <v>2700</v>
      </c>
      <c r="G88" s="375" t="s">
        <v>939</v>
      </c>
      <c r="H88" s="376"/>
    </row>
    <row r="89" spans="1:15" s="14" customFormat="1" ht="44.45" customHeight="1" x14ac:dyDescent="0.25">
      <c r="A89" s="708"/>
      <c r="B89" s="685"/>
      <c r="C89" s="6" t="s">
        <v>37</v>
      </c>
      <c r="D89" s="385" t="s">
        <v>554</v>
      </c>
      <c r="E89" s="385">
        <v>0</v>
      </c>
      <c r="F89" s="526"/>
      <c r="G89" s="375"/>
      <c r="H89" s="376"/>
    </row>
    <row r="90" spans="1:15" s="14" customFormat="1" ht="15.75" x14ac:dyDescent="0.25">
      <c r="A90" s="688"/>
      <c r="B90" s="670"/>
      <c r="C90" s="525" t="s">
        <v>1065</v>
      </c>
      <c r="D90" s="1242">
        <f>+Innovatiesubsidies!B14*8</f>
        <v>800</v>
      </c>
      <c r="E90" s="1242">
        <v>0</v>
      </c>
      <c r="F90" s="1247">
        <f>+D90+E90</f>
        <v>800</v>
      </c>
      <c r="G90" s="689"/>
      <c r="H90" s="376"/>
    </row>
    <row r="91" spans="1:15" s="14" customFormat="1" ht="15.75" x14ac:dyDescent="0.25">
      <c r="A91" s="688"/>
      <c r="B91" s="670"/>
      <c r="C91" s="525"/>
      <c r="D91" s="710"/>
      <c r="E91" s="385"/>
      <c r="F91" s="526"/>
      <c r="G91" s="689"/>
      <c r="H91" s="376"/>
    </row>
    <row r="92" spans="1:15" s="14" customFormat="1" ht="15.75" x14ac:dyDescent="0.25">
      <c r="A92" s="688"/>
      <c r="B92" s="670"/>
      <c r="C92" s="525"/>
      <c r="D92" s="710"/>
      <c r="E92" s="385"/>
      <c r="F92" s="526"/>
      <c r="G92" s="689"/>
      <c r="H92" s="376"/>
    </row>
    <row r="93" spans="1:15" s="14" customFormat="1" ht="56.25" x14ac:dyDescent="0.3">
      <c r="A93" s="1749" t="s">
        <v>555</v>
      </c>
      <c r="B93" s="1750"/>
      <c r="C93" s="1751"/>
      <c r="D93" s="667" t="s">
        <v>1057</v>
      </c>
      <c r="E93" s="667" t="str">
        <f>+E1</f>
        <v>UITGAVEN 2021-2035 (15jr)  (*mln €)</v>
      </c>
      <c r="F93" s="668" t="s">
        <v>8</v>
      </c>
      <c r="G93" s="669" t="s">
        <v>22</v>
      </c>
      <c r="H93" s="376"/>
      <c r="I93" s="193" t="s">
        <v>799</v>
      </c>
    </row>
    <row r="94" spans="1:15" s="14" customFormat="1" x14ac:dyDescent="0.25">
      <c r="A94" s="688"/>
      <c r="B94" s="379"/>
      <c r="C94" s="677" t="s">
        <v>685</v>
      </c>
      <c r="D94" s="671">
        <f>+O94/1000</f>
        <v>278.24700000000001</v>
      </c>
      <c r="E94" s="385"/>
      <c r="F94" s="526">
        <f>+D94</f>
        <v>278.24700000000001</v>
      </c>
      <c r="G94" s="711" t="s">
        <v>84</v>
      </c>
      <c r="H94" s="376"/>
      <c r="I94" s="169">
        <v>29205</v>
      </c>
      <c r="J94" s="169">
        <v>35464</v>
      </c>
      <c r="K94" s="169">
        <v>54289</v>
      </c>
      <c r="L94" s="169">
        <v>59289</v>
      </c>
      <c r="M94" s="169">
        <v>50000</v>
      </c>
      <c r="N94" s="169">
        <v>50000</v>
      </c>
      <c r="O94" s="175">
        <f>SUM(I94:N94)</f>
        <v>278247</v>
      </c>
    </row>
    <row r="95" spans="1:15" s="14" customFormat="1" x14ac:dyDescent="0.25">
      <c r="A95" s="688"/>
      <c r="B95" s="688"/>
      <c r="C95" s="6" t="s">
        <v>681</v>
      </c>
      <c r="D95" s="385" t="s">
        <v>548</v>
      </c>
      <c r="E95" s="385" t="s">
        <v>548</v>
      </c>
      <c r="F95" s="526"/>
      <c r="G95" s="689"/>
      <c r="H95" s="376"/>
    </row>
    <row r="96" spans="1:15" s="14" customFormat="1" x14ac:dyDescent="0.25">
      <c r="A96" s="688"/>
      <c r="B96" s="379"/>
      <c r="C96" s="6" t="s">
        <v>682</v>
      </c>
      <c r="D96" s="385" t="s">
        <v>548</v>
      </c>
      <c r="E96" s="385" t="s">
        <v>548</v>
      </c>
      <c r="F96" s="526"/>
      <c r="G96" s="689"/>
      <c r="H96" s="376"/>
    </row>
    <row r="97" spans="1:9" s="14" customFormat="1" ht="31.5" x14ac:dyDescent="0.25">
      <c r="A97" s="688"/>
      <c r="B97" s="685"/>
      <c r="C97" s="972" t="s">
        <v>683</v>
      </c>
      <c r="D97" s="385" t="s">
        <v>548</v>
      </c>
      <c r="E97" s="385" t="s">
        <v>548</v>
      </c>
      <c r="F97" s="526"/>
      <c r="G97" s="686"/>
      <c r="H97" s="376"/>
    </row>
    <row r="98" spans="1:9" s="14" customFormat="1" ht="31.5" x14ac:dyDescent="0.25">
      <c r="A98" s="687"/>
      <c r="B98" s="670"/>
      <c r="C98" s="525" t="s">
        <v>684</v>
      </c>
      <c r="D98" s="385" t="s">
        <v>548</v>
      </c>
      <c r="E98" s="385" t="s">
        <v>548</v>
      </c>
      <c r="F98" s="526"/>
      <c r="G98" s="689"/>
      <c r="H98" s="376"/>
    </row>
    <row r="99" spans="1:9" s="14" customFormat="1" ht="47.25" x14ac:dyDescent="0.25">
      <c r="A99" s="687"/>
      <c r="B99" s="670"/>
      <c r="C99" s="525" t="s">
        <v>397</v>
      </c>
      <c r="D99" s="385" t="s">
        <v>548</v>
      </c>
      <c r="E99" s="385" t="s">
        <v>548</v>
      </c>
      <c r="F99" s="526"/>
      <c r="G99" s="689"/>
      <c r="H99" s="376"/>
    </row>
    <row r="100" spans="1:9" s="14" customFormat="1" ht="15.75" x14ac:dyDescent="0.25">
      <c r="A100" s="180"/>
      <c r="B100" s="181"/>
      <c r="C100" s="182"/>
      <c r="D100" s="183"/>
      <c r="E100" s="183"/>
      <c r="F100" s="184"/>
      <c r="G100" s="185"/>
    </row>
    <row r="101" spans="1:9" s="14" customFormat="1" ht="56.25" x14ac:dyDescent="0.3">
      <c r="D101" s="667" t="s">
        <v>1057</v>
      </c>
      <c r="E101" s="186" t="str">
        <f>+E1</f>
        <v>UITGAVEN 2021-2035 (15jr)  (*mln €)</v>
      </c>
      <c r="F101" s="163" t="s">
        <v>8</v>
      </c>
      <c r="G101" s="164" t="s">
        <v>22</v>
      </c>
      <c r="I101" s="170"/>
    </row>
    <row r="102" spans="1:9" s="14" customFormat="1" x14ac:dyDescent="0.25">
      <c r="D102" s="166">
        <v>0</v>
      </c>
      <c r="E102" s="187"/>
      <c r="F102" s="166"/>
      <c r="G102" s="174"/>
    </row>
    <row r="103" spans="1:9" s="14" customFormat="1" x14ac:dyDescent="0.25">
      <c r="A103" s="170"/>
      <c r="C103" s="188" t="s">
        <v>8</v>
      </c>
      <c r="D103" s="189">
        <f>SUM(D2:D102)</f>
        <v>52851.97096932472</v>
      </c>
      <c r="E103" s="189">
        <f>SUM(E2:E102)</f>
        <v>54377.930291647659</v>
      </c>
      <c r="F103" s="917">
        <f>SUM(F2:F102)</f>
        <v>107229.90126097237</v>
      </c>
      <c r="G103" s="190"/>
    </row>
    <row r="104" spans="1:9" s="14" customFormat="1" x14ac:dyDescent="0.25">
      <c r="A104" s="170"/>
      <c r="D104" s="192"/>
      <c r="E104" s="189"/>
      <c r="F104" s="189"/>
      <c r="G104" s="190"/>
    </row>
  </sheetData>
  <mergeCells count="3">
    <mergeCell ref="B32:C32"/>
    <mergeCell ref="A1:C1"/>
    <mergeCell ref="A93:C93"/>
  </mergeCells>
  <pageMargins left="0.70866141732283472" right="0.70866141732283472" top="0.74803149606299213" bottom="0.74803149606299213" header="0.31496062992125984" footer="0.31496062992125984"/>
  <pageSetup paperSize="9" scale="66" fitToHeight="4" orientation="landscape"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30"/>
  <sheetViews>
    <sheetView zoomScaleNormal="100" workbookViewId="0">
      <pane ySplit="2" topLeftCell="A3" activePane="bottomLeft" state="frozen"/>
      <selection pane="bottomLeft" activeCell="E109" sqref="E109"/>
    </sheetView>
  </sheetViews>
  <sheetFormatPr defaultRowHeight="15" customHeight="1" x14ac:dyDescent="0.25"/>
  <cols>
    <col min="1" max="1" width="5.28515625" style="35" customWidth="1"/>
    <col min="2" max="2" width="19.28515625" style="594" customWidth="1"/>
    <col min="3" max="3" width="27.85546875" style="37" customWidth="1"/>
    <col min="4" max="4" width="74.7109375" style="37" customWidth="1"/>
    <col min="5" max="5" width="14.140625" style="1007" customWidth="1"/>
    <col min="6" max="6" width="9.140625" style="49" customWidth="1"/>
    <col min="7" max="8" width="7.7109375" style="34" customWidth="1"/>
    <col min="9" max="9" width="7.85546875" style="34" customWidth="1"/>
    <col min="10" max="10" width="10" style="34" customWidth="1"/>
    <col min="11" max="11" width="9" style="34" customWidth="1"/>
    <col min="12" max="15" width="7.7109375" style="34" customWidth="1"/>
    <col min="16" max="16" width="4.85546875" customWidth="1"/>
    <col min="17" max="17" width="4.28515625" customWidth="1"/>
    <col min="18" max="18" width="9" style="49" customWidth="1"/>
    <col min="19" max="19" width="9" style="34" customWidth="1"/>
    <col min="20" max="20" width="10.7109375" style="34" customWidth="1"/>
    <col min="21" max="21" width="5.28515625" customWidth="1"/>
    <col min="22" max="22" width="9.85546875" style="49" customWidth="1"/>
    <col min="23" max="23" width="7.7109375" style="49" customWidth="1"/>
    <col min="24" max="24" width="9.140625" style="49" customWidth="1"/>
    <col min="25" max="25" width="16.28515625" style="49" customWidth="1"/>
    <col min="26" max="26" width="5.42578125" style="30" customWidth="1"/>
    <col min="27" max="27" width="8.7109375" style="34" customWidth="1"/>
    <col min="28" max="118" width="9.140625" style="37"/>
    <col min="119" max="119" width="3.28515625" style="37" customWidth="1"/>
    <col min="120" max="120" width="6.140625" style="37" customWidth="1"/>
    <col min="121" max="121" width="20.140625" style="37" customWidth="1"/>
    <col min="122" max="122" width="35.42578125" style="37" customWidth="1"/>
    <col min="123" max="123" width="9.85546875" style="37" customWidth="1"/>
    <col min="124" max="124" width="9.5703125" style="37" customWidth="1"/>
    <col min="125" max="125" width="9.28515625" style="37" customWidth="1"/>
    <col min="126" max="126" width="10.28515625" style="37" customWidth="1"/>
    <col min="127" max="128" width="8.7109375" style="37" customWidth="1"/>
    <col min="129" max="132" width="9.85546875" style="37" customWidth="1"/>
    <col min="133" max="133" width="14.42578125" style="37" customWidth="1"/>
    <col min="134" max="134" width="12.140625" style="37" customWidth="1"/>
    <col min="135" max="135" width="4.28515625" style="37" customWidth="1"/>
    <col min="136" max="136" width="11" style="37" customWidth="1"/>
    <col min="137" max="141" width="9.28515625" style="37" customWidth="1"/>
    <col min="142" max="142" width="4.28515625" style="37" customWidth="1"/>
    <col min="143" max="149" width="8.7109375" style="37" customWidth="1"/>
    <col min="150" max="150" width="6.28515625" style="37" customWidth="1"/>
    <col min="151" max="158" width="8.7109375" style="37" customWidth="1"/>
    <col min="159" max="159" width="6.28515625" style="37" customWidth="1"/>
    <col min="160" max="207" width="8.7109375" style="37" customWidth="1"/>
    <col min="208" max="374" width="9.140625" style="37"/>
    <col min="375" max="375" width="3.28515625" style="37" customWidth="1"/>
    <col min="376" max="376" width="6.140625" style="37" customWidth="1"/>
    <col min="377" max="377" width="20.140625" style="37" customWidth="1"/>
    <col min="378" max="378" width="35.42578125" style="37" customWidth="1"/>
    <col min="379" max="379" width="9.85546875" style="37" customWidth="1"/>
    <col min="380" max="380" width="9.5703125" style="37" customWidth="1"/>
    <col min="381" max="381" width="9.28515625" style="37" customWidth="1"/>
    <col min="382" max="382" width="10.28515625" style="37" customWidth="1"/>
    <col min="383" max="384" width="8.7109375" style="37" customWidth="1"/>
    <col min="385" max="388" width="9.85546875" style="37" customWidth="1"/>
    <col min="389" max="389" width="14.42578125" style="37" customWidth="1"/>
    <col min="390" max="390" width="12.140625" style="37" customWidth="1"/>
    <col min="391" max="391" width="4.28515625" style="37" customWidth="1"/>
    <col min="392" max="392" width="11" style="37" customWidth="1"/>
    <col min="393" max="397" width="9.28515625" style="37" customWidth="1"/>
    <col min="398" max="398" width="4.28515625" style="37" customWidth="1"/>
    <col min="399" max="405" width="8.7109375" style="37" customWidth="1"/>
    <col min="406" max="406" width="6.28515625" style="37" customWidth="1"/>
    <col min="407" max="414" width="8.7109375" style="37" customWidth="1"/>
    <col min="415" max="415" width="6.28515625" style="37" customWidth="1"/>
    <col min="416" max="463" width="8.7109375" style="37" customWidth="1"/>
    <col min="464" max="630" width="9.140625" style="37"/>
    <col min="631" max="631" width="3.28515625" style="37" customWidth="1"/>
    <col min="632" max="632" width="6.140625" style="37" customWidth="1"/>
    <col min="633" max="633" width="20.140625" style="37" customWidth="1"/>
    <col min="634" max="634" width="35.42578125" style="37" customWidth="1"/>
    <col min="635" max="635" width="9.85546875" style="37" customWidth="1"/>
    <col min="636" max="636" width="9.5703125" style="37" customWidth="1"/>
    <col min="637" max="637" width="9.28515625" style="37" customWidth="1"/>
    <col min="638" max="638" width="10.28515625" style="37" customWidth="1"/>
    <col min="639" max="640" width="8.7109375" style="37" customWidth="1"/>
    <col min="641" max="644" width="9.85546875" style="37" customWidth="1"/>
    <col min="645" max="645" width="14.42578125" style="37" customWidth="1"/>
    <col min="646" max="646" width="12.140625" style="37" customWidth="1"/>
    <col min="647" max="647" width="4.28515625" style="37" customWidth="1"/>
    <col min="648" max="648" width="11" style="37" customWidth="1"/>
    <col min="649" max="653" width="9.28515625" style="37" customWidth="1"/>
    <col min="654" max="654" width="4.28515625" style="37" customWidth="1"/>
    <col min="655" max="661" width="8.7109375" style="37" customWidth="1"/>
    <col min="662" max="662" width="6.28515625" style="37" customWidth="1"/>
    <col min="663" max="670" width="8.7109375" style="37" customWidth="1"/>
    <col min="671" max="671" width="6.28515625" style="37" customWidth="1"/>
    <col min="672" max="719" width="8.7109375" style="37" customWidth="1"/>
    <col min="720" max="886" width="9.140625" style="37"/>
    <col min="887" max="887" width="3.28515625" style="37" customWidth="1"/>
    <col min="888" max="888" width="6.140625" style="37" customWidth="1"/>
    <col min="889" max="889" width="20.140625" style="37" customWidth="1"/>
    <col min="890" max="890" width="35.42578125" style="37" customWidth="1"/>
    <col min="891" max="891" width="9.85546875" style="37" customWidth="1"/>
    <col min="892" max="892" width="9.5703125" style="37" customWidth="1"/>
    <col min="893" max="893" width="9.28515625" style="37" customWidth="1"/>
    <col min="894" max="894" width="10.28515625" style="37" customWidth="1"/>
    <col min="895" max="896" width="8.7109375" style="37" customWidth="1"/>
    <col min="897" max="900" width="9.85546875" style="37" customWidth="1"/>
    <col min="901" max="901" width="14.42578125" style="37" customWidth="1"/>
    <col min="902" max="902" width="12.140625" style="37" customWidth="1"/>
    <col min="903" max="903" width="4.28515625" style="37" customWidth="1"/>
    <col min="904" max="904" width="11" style="37" customWidth="1"/>
    <col min="905" max="909" width="9.28515625" style="37" customWidth="1"/>
    <col min="910" max="910" width="4.28515625" style="37" customWidth="1"/>
    <col min="911" max="917" width="8.7109375" style="37" customWidth="1"/>
    <col min="918" max="918" width="6.28515625" style="37" customWidth="1"/>
    <col min="919" max="926" width="8.7109375" style="37" customWidth="1"/>
    <col min="927" max="927" width="6.28515625" style="37" customWidth="1"/>
    <col min="928" max="975" width="8.7109375" style="37" customWidth="1"/>
    <col min="976" max="1142" width="9.140625" style="37"/>
    <col min="1143" max="1143" width="3.28515625" style="37" customWidth="1"/>
    <col min="1144" max="1144" width="6.140625" style="37" customWidth="1"/>
    <col min="1145" max="1145" width="20.140625" style="37" customWidth="1"/>
    <col min="1146" max="1146" width="35.42578125" style="37" customWidth="1"/>
    <col min="1147" max="1147" width="9.85546875" style="37" customWidth="1"/>
    <col min="1148" max="1148" width="9.5703125" style="37" customWidth="1"/>
    <col min="1149" max="1149" width="9.28515625" style="37" customWidth="1"/>
    <col min="1150" max="1150" width="10.28515625" style="37" customWidth="1"/>
    <col min="1151" max="1152" width="8.7109375" style="37" customWidth="1"/>
    <col min="1153" max="1156" width="9.85546875" style="37" customWidth="1"/>
    <col min="1157" max="1157" width="14.42578125" style="37" customWidth="1"/>
    <col min="1158" max="1158" width="12.140625" style="37" customWidth="1"/>
    <col min="1159" max="1159" width="4.28515625" style="37" customWidth="1"/>
    <col min="1160" max="1160" width="11" style="37" customWidth="1"/>
    <col min="1161" max="1165" width="9.28515625" style="37" customWidth="1"/>
    <col min="1166" max="1166" width="4.28515625" style="37" customWidth="1"/>
    <col min="1167" max="1173" width="8.7109375" style="37" customWidth="1"/>
    <col min="1174" max="1174" width="6.28515625" style="37" customWidth="1"/>
    <col min="1175" max="1182" width="8.7109375" style="37" customWidth="1"/>
    <col min="1183" max="1183" width="6.28515625" style="37" customWidth="1"/>
    <col min="1184" max="1231" width="8.7109375" style="37" customWidth="1"/>
    <col min="1232" max="1398" width="9.140625" style="37"/>
    <col min="1399" max="1399" width="3.28515625" style="37" customWidth="1"/>
    <col min="1400" max="1400" width="6.140625" style="37" customWidth="1"/>
    <col min="1401" max="1401" width="20.140625" style="37" customWidth="1"/>
    <col min="1402" max="1402" width="35.42578125" style="37" customWidth="1"/>
    <col min="1403" max="1403" width="9.85546875" style="37" customWidth="1"/>
    <col min="1404" max="1404" width="9.5703125" style="37" customWidth="1"/>
    <col min="1405" max="1405" width="9.28515625" style="37" customWidth="1"/>
    <col min="1406" max="1406" width="10.28515625" style="37" customWidth="1"/>
    <col min="1407" max="1408" width="8.7109375" style="37" customWidth="1"/>
    <col min="1409" max="1412" width="9.85546875" style="37" customWidth="1"/>
    <col min="1413" max="1413" width="14.42578125" style="37" customWidth="1"/>
    <col min="1414" max="1414" width="12.140625" style="37" customWidth="1"/>
    <col min="1415" max="1415" width="4.28515625" style="37" customWidth="1"/>
    <col min="1416" max="1416" width="11" style="37" customWidth="1"/>
    <col min="1417" max="1421" width="9.28515625" style="37" customWidth="1"/>
    <col min="1422" max="1422" width="4.28515625" style="37" customWidth="1"/>
    <col min="1423" max="1429" width="8.7109375" style="37" customWidth="1"/>
    <col min="1430" max="1430" width="6.28515625" style="37" customWidth="1"/>
    <col min="1431" max="1438" width="8.7109375" style="37" customWidth="1"/>
    <col min="1439" max="1439" width="6.28515625" style="37" customWidth="1"/>
    <col min="1440" max="1487" width="8.7109375" style="37" customWidth="1"/>
    <col min="1488" max="1654" width="9.140625" style="37"/>
    <col min="1655" max="1655" width="3.28515625" style="37" customWidth="1"/>
    <col min="1656" max="1656" width="6.140625" style="37" customWidth="1"/>
    <col min="1657" max="1657" width="20.140625" style="37" customWidth="1"/>
    <col min="1658" max="1658" width="35.42578125" style="37" customWidth="1"/>
    <col min="1659" max="1659" width="9.85546875" style="37" customWidth="1"/>
    <col min="1660" max="1660" width="9.5703125" style="37" customWidth="1"/>
    <col min="1661" max="1661" width="9.28515625" style="37" customWidth="1"/>
    <col min="1662" max="1662" width="10.28515625" style="37" customWidth="1"/>
    <col min="1663" max="1664" width="8.7109375" style="37" customWidth="1"/>
    <col min="1665" max="1668" width="9.85546875" style="37" customWidth="1"/>
    <col min="1669" max="1669" width="14.42578125" style="37" customWidth="1"/>
    <col min="1670" max="1670" width="12.140625" style="37" customWidth="1"/>
    <col min="1671" max="1671" width="4.28515625" style="37" customWidth="1"/>
    <col min="1672" max="1672" width="11" style="37" customWidth="1"/>
    <col min="1673" max="1677" width="9.28515625" style="37" customWidth="1"/>
    <col min="1678" max="1678" width="4.28515625" style="37" customWidth="1"/>
    <col min="1679" max="1685" width="8.7109375" style="37" customWidth="1"/>
    <col min="1686" max="1686" width="6.28515625" style="37" customWidth="1"/>
    <col min="1687" max="1694" width="8.7109375" style="37" customWidth="1"/>
    <col min="1695" max="1695" width="6.28515625" style="37" customWidth="1"/>
    <col min="1696" max="1743" width="8.7109375" style="37" customWidth="1"/>
    <col min="1744" max="1910" width="9.140625" style="37"/>
    <col min="1911" max="1911" width="3.28515625" style="37" customWidth="1"/>
    <col min="1912" max="1912" width="6.140625" style="37" customWidth="1"/>
    <col min="1913" max="1913" width="20.140625" style="37" customWidth="1"/>
    <col min="1914" max="1914" width="35.42578125" style="37" customWidth="1"/>
    <col min="1915" max="1915" width="9.85546875" style="37" customWidth="1"/>
    <col min="1916" max="1916" width="9.5703125" style="37" customWidth="1"/>
    <col min="1917" max="1917" width="9.28515625" style="37" customWidth="1"/>
    <col min="1918" max="1918" width="10.28515625" style="37" customWidth="1"/>
    <col min="1919" max="1920" width="8.7109375" style="37" customWidth="1"/>
    <col min="1921" max="1924" width="9.85546875" style="37" customWidth="1"/>
    <col min="1925" max="1925" width="14.42578125" style="37" customWidth="1"/>
    <col min="1926" max="1926" width="12.140625" style="37" customWidth="1"/>
    <col min="1927" max="1927" width="4.28515625" style="37" customWidth="1"/>
    <col min="1928" max="1928" width="11" style="37" customWidth="1"/>
    <col min="1929" max="1933" width="9.28515625" style="37" customWidth="1"/>
    <col min="1934" max="1934" width="4.28515625" style="37" customWidth="1"/>
    <col min="1935" max="1941" width="8.7109375" style="37" customWidth="1"/>
    <col min="1942" max="1942" width="6.28515625" style="37" customWidth="1"/>
    <col min="1943" max="1950" width="8.7109375" style="37" customWidth="1"/>
    <col min="1951" max="1951" width="6.28515625" style="37" customWidth="1"/>
    <col min="1952" max="1999" width="8.7109375" style="37" customWidth="1"/>
    <col min="2000" max="2166" width="9.140625" style="37"/>
    <col min="2167" max="2167" width="3.28515625" style="37" customWidth="1"/>
    <col min="2168" max="2168" width="6.140625" style="37" customWidth="1"/>
    <col min="2169" max="2169" width="20.140625" style="37" customWidth="1"/>
    <col min="2170" max="2170" width="35.42578125" style="37" customWidth="1"/>
    <col min="2171" max="2171" width="9.85546875" style="37" customWidth="1"/>
    <col min="2172" max="2172" width="9.5703125" style="37" customWidth="1"/>
    <col min="2173" max="2173" width="9.28515625" style="37" customWidth="1"/>
    <col min="2174" max="2174" width="10.28515625" style="37" customWidth="1"/>
    <col min="2175" max="2176" width="8.7109375" style="37" customWidth="1"/>
    <col min="2177" max="2180" width="9.85546875" style="37" customWidth="1"/>
    <col min="2181" max="2181" width="14.42578125" style="37" customWidth="1"/>
    <col min="2182" max="2182" width="12.140625" style="37" customWidth="1"/>
    <col min="2183" max="2183" width="4.28515625" style="37" customWidth="1"/>
    <col min="2184" max="2184" width="11" style="37" customWidth="1"/>
    <col min="2185" max="2189" width="9.28515625" style="37" customWidth="1"/>
    <col min="2190" max="2190" width="4.28515625" style="37" customWidth="1"/>
    <col min="2191" max="2197" width="8.7109375" style="37" customWidth="1"/>
    <col min="2198" max="2198" width="6.28515625" style="37" customWidth="1"/>
    <col min="2199" max="2206" width="8.7109375" style="37" customWidth="1"/>
    <col min="2207" max="2207" width="6.28515625" style="37" customWidth="1"/>
    <col min="2208" max="2255" width="8.7109375" style="37" customWidth="1"/>
    <col min="2256" max="2422" width="9.140625" style="37"/>
    <col min="2423" max="2423" width="3.28515625" style="37" customWidth="1"/>
    <col min="2424" max="2424" width="6.140625" style="37" customWidth="1"/>
    <col min="2425" max="2425" width="20.140625" style="37" customWidth="1"/>
    <col min="2426" max="2426" width="35.42578125" style="37" customWidth="1"/>
    <col min="2427" max="2427" width="9.85546875" style="37" customWidth="1"/>
    <col min="2428" max="2428" width="9.5703125" style="37" customWidth="1"/>
    <col min="2429" max="2429" width="9.28515625" style="37" customWidth="1"/>
    <col min="2430" max="2430" width="10.28515625" style="37" customWidth="1"/>
    <col min="2431" max="2432" width="8.7109375" style="37" customWidth="1"/>
    <col min="2433" max="2436" width="9.85546875" style="37" customWidth="1"/>
    <col min="2437" max="2437" width="14.42578125" style="37" customWidth="1"/>
    <col min="2438" max="2438" width="12.140625" style="37" customWidth="1"/>
    <col min="2439" max="2439" width="4.28515625" style="37" customWidth="1"/>
    <col min="2440" max="2440" width="11" style="37" customWidth="1"/>
    <col min="2441" max="2445" width="9.28515625" style="37" customWidth="1"/>
    <col min="2446" max="2446" width="4.28515625" style="37" customWidth="1"/>
    <col min="2447" max="2453" width="8.7109375" style="37" customWidth="1"/>
    <col min="2454" max="2454" width="6.28515625" style="37" customWidth="1"/>
    <col min="2455" max="2462" width="8.7109375" style="37" customWidth="1"/>
    <col min="2463" max="2463" width="6.28515625" style="37" customWidth="1"/>
    <col min="2464" max="2511" width="8.7109375" style="37" customWidth="1"/>
    <col min="2512" max="2678" width="9.140625" style="37"/>
    <col min="2679" max="2679" width="3.28515625" style="37" customWidth="1"/>
    <col min="2680" max="2680" width="6.140625" style="37" customWidth="1"/>
    <col min="2681" max="2681" width="20.140625" style="37" customWidth="1"/>
    <col min="2682" max="2682" width="35.42578125" style="37" customWidth="1"/>
    <col min="2683" max="2683" width="9.85546875" style="37" customWidth="1"/>
    <col min="2684" max="2684" width="9.5703125" style="37" customWidth="1"/>
    <col min="2685" max="2685" width="9.28515625" style="37" customWidth="1"/>
    <col min="2686" max="2686" width="10.28515625" style="37" customWidth="1"/>
    <col min="2687" max="2688" width="8.7109375" style="37" customWidth="1"/>
    <col min="2689" max="2692" width="9.85546875" style="37" customWidth="1"/>
    <col min="2693" max="2693" width="14.42578125" style="37" customWidth="1"/>
    <col min="2694" max="2694" width="12.140625" style="37" customWidth="1"/>
    <col min="2695" max="2695" width="4.28515625" style="37" customWidth="1"/>
    <col min="2696" max="2696" width="11" style="37" customWidth="1"/>
    <col min="2697" max="2701" width="9.28515625" style="37" customWidth="1"/>
    <col min="2702" max="2702" width="4.28515625" style="37" customWidth="1"/>
    <col min="2703" max="2709" width="8.7109375" style="37" customWidth="1"/>
    <col min="2710" max="2710" width="6.28515625" style="37" customWidth="1"/>
    <col min="2711" max="2718" width="8.7109375" style="37" customWidth="1"/>
    <col min="2719" max="2719" width="6.28515625" style="37" customWidth="1"/>
    <col min="2720" max="2767" width="8.7109375" style="37" customWidth="1"/>
    <col min="2768" max="2934" width="9.140625" style="37"/>
    <col min="2935" max="2935" width="3.28515625" style="37" customWidth="1"/>
    <col min="2936" max="2936" width="6.140625" style="37" customWidth="1"/>
    <col min="2937" max="2937" width="20.140625" style="37" customWidth="1"/>
    <col min="2938" max="2938" width="35.42578125" style="37" customWidth="1"/>
    <col min="2939" max="2939" width="9.85546875" style="37" customWidth="1"/>
    <col min="2940" max="2940" width="9.5703125" style="37" customWidth="1"/>
    <col min="2941" max="2941" width="9.28515625" style="37" customWidth="1"/>
    <col min="2942" max="2942" width="10.28515625" style="37" customWidth="1"/>
    <col min="2943" max="2944" width="8.7109375" style="37" customWidth="1"/>
    <col min="2945" max="2948" width="9.85546875" style="37" customWidth="1"/>
    <col min="2949" max="2949" width="14.42578125" style="37" customWidth="1"/>
    <col min="2950" max="2950" width="12.140625" style="37" customWidth="1"/>
    <col min="2951" max="2951" width="4.28515625" style="37" customWidth="1"/>
    <col min="2952" max="2952" width="11" style="37" customWidth="1"/>
    <col min="2953" max="2957" width="9.28515625" style="37" customWidth="1"/>
    <col min="2958" max="2958" width="4.28515625" style="37" customWidth="1"/>
    <col min="2959" max="2965" width="8.7109375" style="37" customWidth="1"/>
    <col min="2966" max="2966" width="6.28515625" style="37" customWidth="1"/>
    <col min="2967" max="2974" width="8.7109375" style="37" customWidth="1"/>
    <col min="2975" max="2975" width="6.28515625" style="37" customWidth="1"/>
    <col min="2976" max="3023" width="8.7109375" style="37" customWidth="1"/>
    <col min="3024" max="3190" width="9.140625" style="37"/>
    <col min="3191" max="3191" width="3.28515625" style="37" customWidth="1"/>
    <col min="3192" max="3192" width="6.140625" style="37" customWidth="1"/>
    <col min="3193" max="3193" width="20.140625" style="37" customWidth="1"/>
    <col min="3194" max="3194" width="35.42578125" style="37" customWidth="1"/>
    <col min="3195" max="3195" width="9.85546875" style="37" customWidth="1"/>
    <col min="3196" max="3196" width="9.5703125" style="37" customWidth="1"/>
    <col min="3197" max="3197" width="9.28515625" style="37" customWidth="1"/>
    <col min="3198" max="3198" width="10.28515625" style="37" customWidth="1"/>
    <col min="3199" max="3200" width="8.7109375" style="37" customWidth="1"/>
    <col min="3201" max="3204" width="9.85546875" style="37" customWidth="1"/>
    <col min="3205" max="3205" width="14.42578125" style="37" customWidth="1"/>
    <col min="3206" max="3206" width="12.140625" style="37" customWidth="1"/>
    <col min="3207" max="3207" width="4.28515625" style="37" customWidth="1"/>
    <col min="3208" max="3208" width="11" style="37" customWidth="1"/>
    <col min="3209" max="3213" width="9.28515625" style="37" customWidth="1"/>
    <col min="3214" max="3214" width="4.28515625" style="37" customWidth="1"/>
    <col min="3215" max="3221" width="8.7109375" style="37" customWidth="1"/>
    <col min="3222" max="3222" width="6.28515625" style="37" customWidth="1"/>
    <col min="3223" max="3230" width="8.7109375" style="37" customWidth="1"/>
    <col min="3231" max="3231" width="6.28515625" style="37" customWidth="1"/>
    <col min="3232" max="3279" width="8.7109375" style="37" customWidth="1"/>
    <col min="3280" max="3446" width="9.140625" style="37"/>
    <col min="3447" max="3447" width="3.28515625" style="37" customWidth="1"/>
    <col min="3448" max="3448" width="6.140625" style="37" customWidth="1"/>
    <col min="3449" max="3449" width="20.140625" style="37" customWidth="1"/>
    <col min="3450" max="3450" width="35.42578125" style="37" customWidth="1"/>
    <col min="3451" max="3451" width="9.85546875" style="37" customWidth="1"/>
    <col min="3452" max="3452" width="9.5703125" style="37" customWidth="1"/>
    <col min="3453" max="3453" width="9.28515625" style="37" customWidth="1"/>
    <col min="3454" max="3454" width="10.28515625" style="37" customWidth="1"/>
    <col min="3455" max="3456" width="8.7109375" style="37" customWidth="1"/>
    <col min="3457" max="3460" width="9.85546875" style="37" customWidth="1"/>
    <col min="3461" max="3461" width="14.42578125" style="37" customWidth="1"/>
    <col min="3462" max="3462" width="12.140625" style="37" customWidth="1"/>
    <col min="3463" max="3463" width="4.28515625" style="37" customWidth="1"/>
    <col min="3464" max="3464" width="11" style="37" customWidth="1"/>
    <col min="3465" max="3469" width="9.28515625" style="37" customWidth="1"/>
    <col min="3470" max="3470" width="4.28515625" style="37" customWidth="1"/>
    <col min="3471" max="3477" width="8.7109375" style="37" customWidth="1"/>
    <col min="3478" max="3478" width="6.28515625" style="37" customWidth="1"/>
    <col min="3479" max="3486" width="8.7109375" style="37" customWidth="1"/>
    <col min="3487" max="3487" width="6.28515625" style="37" customWidth="1"/>
    <col min="3488" max="3535" width="8.7109375" style="37" customWidth="1"/>
    <col min="3536" max="3702" width="9.140625" style="37"/>
    <col min="3703" max="3703" width="3.28515625" style="37" customWidth="1"/>
    <col min="3704" max="3704" width="6.140625" style="37" customWidth="1"/>
    <col min="3705" max="3705" width="20.140625" style="37" customWidth="1"/>
    <col min="3706" max="3706" width="35.42578125" style="37" customWidth="1"/>
    <col min="3707" max="3707" width="9.85546875" style="37" customWidth="1"/>
    <col min="3708" max="3708" width="9.5703125" style="37" customWidth="1"/>
    <col min="3709" max="3709" width="9.28515625" style="37" customWidth="1"/>
    <col min="3710" max="3710" width="10.28515625" style="37" customWidth="1"/>
    <col min="3711" max="3712" width="8.7109375" style="37" customWidth="1"/>
    <col min="3713" max="3716" width="9.85546875" style="37" customWidth="1"/>
    <col min="3717" max="3717" width="14.42578125" style="37" customWidth="1"/>
    <col min="3718" max="3718" width="12.140625" style="37" customWidth="1"/>
    <col min="3719" max="3719" width="4.28515625" style="37" customWidth="1"/>
    <col min="3720" max="3720" width="11" style="37" customWidth="1"/>
    <col min="3721" max="3725" width="9.28515625" style="37" customWidth="1"/>
    <col min="3726" max="3726" width="4.28515625" style="37" customWidth="1"/>
    <col min="3727" max="3733" width="8.7109375" style="37" customWidth="1"/>
    <col min="3734" max="3734" width="6.28515625" style="37" customWidth="1"/>
    <col min="3735" max="3742" width="8.7109375" style="37" customWidth="1"/>
    <col min="3743" max="3743" width="6.28515625" style="37" customWidth="1"/>
    <col min="3744" max="3791" width="8.7109375" style="37" customWidth="1"/>
    <col min="3792" max="3958" width="9.140625" style="37"/>
    <col min="3959" max="3959" width="3.28515625" style="37" customWidth="1"/>
    <col min="3960" max="3960" width="6.140625" style="37" customWidth="1"/>
    <col min="3961" max="3961" width="20.140625" style="37" customWidth="1"/>
    <col min="3962" max="3962" width="35.42578125" style="37" customWidth="1"/>
    <col min="3963" max="3963" width="9.85546875" style="37" customWidth="1"/>
    <col min="3964" max="3964" width="9.5703125" style="37" customWidth="1"/>
    <col min="3965" max="3965" width="9.28515625" style="37" customWidth="1"/>
    <col min="3966" max="3966" width="10.28515625" style="37" customWidth="1"/>
    <col min="3967" max="3968" width="8.7109375" style="37" customWidth="1"/>
    <col min="3969" max="3972" width="9.85546875" style="37" customWidth="1"/>
    <col min="3973" max="3973" width="14.42578125" style="37" customWidth="1"/>
    <col min="3974" max="3974" width="12.140625" style="37" customWidth="1"/>
    <col min="3975" max="3975" width="4.28515625" style="37" customWidth="1"/>
    <col min="3976" max="3976" width="11" style="37" customWidth="1"/>
    <col min="3977" max="3981" width="9.28515625" style="37" customWidth="1"/>
    <col min="3982" max="3982" width="4.28515625" style="37" customWidth="1"/>
    <col min="3983" max="3989" width="8.7109375" style="37" customWidth="1"/>
    <col min="3990" max="3990" width="6.28515625" style="37" customWidth="1"/>
    <col min="3991" max="3998" width="8.7109375" style="37" customWidth="1"/>
    <col min="3999" max="3999" width="6.28515625" style="37" customWidth="1"/>
    <col min="4000" max="4047" width="8.7109375" style="37" customWidth="1"/>
    <col min="4048" max="4214" width="9.140625" style="37"/>
    <col min="4215" max="4215" width="3.28515625" style="37" customWidth="1"/>
    <col min="4216" max="4216" width="6.140625" style="37" customWidth="1"/>
    <col min="4217" max="4217" width="20.140625" style="37" customWidth="1"/>
    <col min="4218" max="4218" width="35.42578125" style="37" customWidth="1"/>
    <col min="4219" max="4219" width="9.85546875" style="37" customWidth="1"/>
    <col min="4220" max="4220" width="9.5703125" style="37" customWidth="1"/>
    <col min="4221" max="4221" width="9.28515625" style="37" customWidth="1"/>
    <col min="4222" max="4222" width="10.28515625" style="37" customWidth="1"/>
    <col min="4223" max="4224" width="8.7109375" style="37" customWidth="1"/>
    <col min="4225" max="4228" width="9.85546875" style="37" customWidth="1"/>
    <col min="4229" max="4229" width="14.42578125" style="37" customWidth="1"/>
    <col min="4230" max="4230" width="12.140625" style="37" customWidth="1"/>
    <col min="4231" max="4231" width="4.28515625" style="37" customWidth="1"/>
    <col min="4232" max="4232" width="11" style="37" customWidth="1"/>
    <col min="4233" max="4237" width="9.28515625" style="37" customWidth="1"/>
    <col min="4238" max="4238" width="4.28515625" style="37" customWidth="1"/>
    <col min="4239" max="4245" width="8.7109375" style="37" customWidth="1"/>
    <col min="4246" max="4246" width="6.28515625" style="37" customWidth="1"/>
    <col min="4247" max="4254" width="8.7109375" style="37" customWidth="1"/>
    <col min="4255" max="4255" width="6.28515625" style="37" customWidth="1"/>
    <col min="4256" max="4303" width="8.7109375" style="37" customWidth="1"/>
    <col min="4304" max="4470" width="9.140625" style="37"/>
    <col min="4471" max="4471" width="3.28515625" style="37" customWidth="1"/>
    <col min="4472" max="4472" width="6.140625" style="37" customWidth="1"/>
    <col min="4473" max="4473" width="20.140625" style="37" customWidth="1"/>
    <col min="4474" max="4474" width="35.42578125" style="37" customWidth="1"/>
    <col min="4475" max="4475" width="9.85546875" style="37" customWidth="1"/>
    <col min="4476" max="4476" width="9.5703125" style="37" customWidth="1"/>
    <col min="4477" max="4477" width="9.28515625" style="37" customWidth="1"/>
    <col min="4478" max="4478" width="10.28515625" style="37" customWidth="1"/>
    <col min="4479" max="4480" width="8.7109375" style="37" customWidth="1"/>
    <col min="4481" max="4484" width="9.85546875" style="37" customWidth="1"/>
    <col min="4485" max="4485" width="14.42578125" style="37" customWidth="1"/>
    <col min="4486" max="4486" width="12.140625" style="37" customWidth="1"/>
    <col min="4487" max="4487" width="4.28515625" style="37" customWidth="1"/>
    <col min="4488" max="4488" width="11" style="37" customWidth="1"/>
    <col min="4489" max="4493" width="9.28515625" style="37" customWidth="1"/>
    <col min="4494" max="4494" width="4.28515625" style="37" customWidth="1"/>
    <col min="4495" max="4501" width="8.7109375" style="37" customWidth="1"/>
    <col min="4502" max="4502" width="6.28515625" style="37" customWidth="1"/>
    <col min="4503" max="4510" width="8.7109375" style="37" customWidth="1"/>
    <col min="4511" max="4511" width="6.28515625" style="37" customWidth="1"/>
    <col min="4512" max="4559" width="8.7109375" style="37" customWidth="1"/>
    <col min="4560" max="4726" width="9.140625" style="37"/>
    <col min="4727" max="4727" width="3.28515625" style="37" customWidth="1"/>
    <col min="4728" max="4728" width="6.140625" style="37" customWidth="1"/>
    <col min="4729" max="4729" width="20.140625" style="37" customWidth="1"/>
    <col min="4730" max="4730" width="35.42578125" style="37" customWidth="1"/>
    <col min="4731" max="4731" width="9.85546875" style="37" customWidth="1"/>
    <col min="4732" max="4732" width="9.5703125" style="37" customWidth="1"/>
    <col min="4733" max="4733" width="9.28515625" style="37" customWidth="1"/>
    <col min="4734" max="4734" width="10.28515625" style="37" customWidth="1"/>
    <col min="4735" max="4736" width="8.7109375" style="37" customWidth="1"/>
    <col min="4737" max="4740" width="9.85546875" style="37" customWidth="1"/>
    <col min="4741" max="4741" width="14.42578125" style="37" customWidth="1"/>
    <col min="4742" max="4742" width="12.140625" style="37" customWidth="1"/>
    <col min="4743" max="4743" width="4.28515625" style="37" customWidth="1"/>
    <col min="4744" max="4744" width="11" style="37" customWidth="1"/>
    <col min="4745" max="4749" width="9.28515625" style="37" customWidth="1"/>
    <col min="4750" max="4750" width="4.28515625" style="37" customWidth="1"/>
    <col min="4751" max="4757" width="8.7109375" style="37" customWidth="1"/>
    <col min="4758" max="4758" width="6.28515625" style="37" customWidth="1"/>
    <col min="4759" max="4766" width="8.7109375" style="37" customWidth="1"/>
    <col min="4767" max="4767" width="6.28515625" style="37" customWidth="1"/>
    <col min="4768" max="4815" width="8.7109375" style="37" customWidth="1"/>
    <col min="4816" max="4982" width="9.140625" style="37"/>
    <col min="4983" max="4983" width="3.28515625" style="37" customWidth="1"/>
    <col min="4984" max="4984" width="6.140625" style="37" customWidth="1"/>
    <col min="4985" max="4985" width="20.140625" style="37" customWidth="1"/>
    <col min="4986" max="4986" width="35.42578125" style="37" customWidth="1"/>
    <col min="4987" max="4987" width="9.85546875" style="37" customWidth="1"/>
    <col min="4988" max="4988" width="9.5703125" style="37" customWidth="1"/>
    <col min="4989" max="4989" width="9.28515625" style="37" customWidth="1"/>
    <col min="4990" max="4990" width="10.28515625" style="37" customWidth="1"/>
    <col min="4991" max="4992" width="8.7109375" style="37" customWidth="1"/>
    <col min="4993" max="4996" width="9.85546875" style="37" customWidth="1"/>
    <col min="4997" max="4997" width="14.42578125" style="37" customWidth="1"/>
    <col min="4998" max="4998" width="12.140625" style="37" customWidth="1"/>
    <col min="4999" max="4999" width="4.28515625" style="37" customWidth="1"/>
    <col min="5000" max="5000" width="11" style="37" customWidth="1"/>
    <col min="5001" max="5005" width="9.28515625" style="37" customWidth="1"/>
    <col min="5006" max="5006" width="4.28515625" style="37" customWidth="1"/>
    <col min="5007" max="5013" width="8.7109375" style="37" customWidth="1"/>
    <col min="5014" max="5014" width="6.28515625" style="37" customWidth="1"/>
    <col min="5015" max="5022" width="8.7109375" style="37" customWidth="1"/>
    <col min="5023" max="5023" width="6.28515625" style="37" customWidth="1"/>
    <col min="5024" max="5071" width="8.7109375" style="37" customWidth="1"/>
    <col min="5072" max="5238" width="9.140625" style="37"/>
    <col min="5239" max="5239" width="3.28515625" style="37" customWidth="1"/>
    <col min="5240" max="5240" width="6.140625" style="37" customWidth="1"/>
    <col min="5241" max="5241" width="20.140625" style="37" customWidth="1"/>
    <col min="5242" max="5242" width="35.42578125" style="37" customWidth="1"/>
    <col min="5243" max="5243" width="9.85546875" style="37" customWidth="1"/>
    <col min="5244" max="5244" width="9.5703125" style="37" customWidth="1"/>
    <col min="5245" max="5245" width="9.28515625" style="37" customWidth="1"/>
    <col min="5246" max="5246" width="10.28515625" style="37" customWidth="1"/>
    <col min="5247" max="5248" width="8.7109375" style="37" customWidth="1"/>
    <col min="5249" max="5252" width="9.85546875" style="37" customWidth="1"/>
    <col min="5253" max="5253" width="14.42578125" style="37" customWidth="1"/>
    <col min="5254" max="5254" width="12.140625" style="37" customWidth="1"/>
    <col min="5255" max="5255" width="4.28515625" style="37" customWidth="1"/>
    <col min="5256" max="5256" width="11" style="37" customWidth="1"/>
    <col min="5257" max="5261" width="9.28515625" style="37" customWidth="1"/>
    <col min="5262" max="5262" width="4.28515625" style="37" customWidth="1"/>
    <col min="5263" max="5269" width="8.7109375" style="37" customWidth="1"/>
    <col min="5270" max="5270" width="6.28515625" style="37" customWidth="1"/>
    <col min="5271" max="5278" width="8.7109375" style="37" customWidth="1"/>
    <col min="5279" max="5279" width="6.28515625" style="37" customWidth="1"/>
    <col min="5280" max="5327" width="8.7109375" style="37" customWidth="1"/>
    <col min="5328" max="5494" width="9.140625" style="37"/>
    <col min="5495" max="5495" width="3.28515625" style="37" customWidth="1"/>
    <col min="5496" max="5496" width="6.140625" style="37" customWidth="1"/>
    <col min="5497" max="5497" width="20.140625" style="37" customWidth="1"/>
    <col min="5498" max="5498" width="35.42578125" style="37" customWidth="1"/>
    <col min="5499" max="5499" width="9.85546875" style="37" customWidth="1"/>
    <col min="5500" max="5500" width="9.5703125" style="37" customWidth="1"/>
    <col min="5501" max="5501" width="9.28515625" style="37" customWidth="1"/>
    <col min="5502" max="5502" width="10.28515625" style="37" customWidth="1"/>
    <col min="5503" max="5504" width="8.7109375" style="37" customWidth="1"/>
    <col min="5505" max="5508" width="9.85546875" style="37" customWidth="1"/>
    <col min="5509" max="5509" width="14.42578125" style="37" customWidth="1"/>
    <col min="5510" max="5510" width="12.140625" style="37" customWidth="1"/>
    <col min="5511" max="5511" width="4.28515625" style="37" customWidth="1"/>
    <col min="5512" max="5512" width="11" style="37" customWidth="1"/>
    <col min="5513" max="5517" width="9.28515625" style="37" customWidth="1"/>
    <col min="5518" max="5518" width="4.28515625" style="37" customWidth="1"/>
    <col min="5519" max="5525" width="8.7109375" style="37" customWidth="1"/>
    <col min="5526" max="5526" width="6.28515625" style="37" customWidth="1"/>
    <col min="5527" max="5534" width="8.7109375" style="37" customWidth="1"/>
    <col min="5535" max="5535" width="6.28515625" style="37" customWidth="1"/>
    <col min="5536" max="5583" width="8.7109375" style="37" customWidth="1"/>
    <col min="5584" max="5750" width="9.140625" style="37"/>
    <col min="5751" max="5751" width="3.28515625" style="37" customWidth="1"/>
    <col min="5752" max="5752" width="6.140625" style="37" customWidth="1"/>
    <col min="5753" max="5753" width="20.140625" style="37" customWidth="1"/>
    <col min="5754" max="5754" width="35.42578125" style="37" customWidth="1"/>
    <col min="5755" max="5755" width="9.85546875" style="37" customWidth="1"/>
    <col min="5756" max="5756" width="9.5703125" style="37" customWidth="1"/>
    <col min="5757" max="5757" width="9.28515625" style="37" customWidth="1"/>
    <col min="5758" max="5758" width="10.28515625" style="37" customWidth="1"/>
    <col min="5759" max="5760" width="8.7109375" style="37" customWidth="1"/>
    <col min="5761" max="5764" width="9.85546875" style="37" customWidth="1"/>
    <col min="5765" max="5765" width="14.42578125" style="37" customWidth="1"/>
    <col min="5766" max="5766" width="12.140625" style="37" customWidth="1"/>
    <col min="5767" max="5767" width="4.28515625" style="37" customWidth="1"/>
    <col min="5768" max="5768" width="11" style="37" customWidth="1"/>
    <col min="5769" max="5773" width="9.28515625" style="37" customWidth="1"/>
    <col min="5774" max="5774" width="4.28515625" style="37" customWidth="1"/>
    <col min="5775" max="5781" width="8.7109375" style="37" customWidth="1"/>
    <col min="5782" max="5782" width="6.28515625" style="37" customWidth="1"/>
    <col min="5783" max="5790" width="8.7109375" style="37" customWidth="1"/>
    <col min="5791" max="5791" width="6.28515625" style="37" customWidth="1"/>
    <col min="5792" max="5839" width="8.7109375" style="37" customWidth="1"/>
    <col min="5840" max="6006" width="9.140625" style="37"/>
    <col min="6007" max="6007" width="3.28515625" style="37" customWidth="1"/>
    <col min="6008" max="6008" width="6.140625" style="37" customWidth="1"/>
    <col min="6009" max="6009" width="20.140625" style="37" customWidth="1"/>
    <col min="6010" max="6010" width="35.42578125" style="37" customWidth="1"/>
    <col min="6011" max="6011" width="9.85546875" style="37" customWidth="1"/>
    <col min="6012" max="6012" width="9.5703125" style="37" customWidth="1"/>
    <col min="6013" max="6013" width="9.28515625" style="37" customWidth="1"/>
    <col min="6014" max="6014" width="10.28515625" style="37" customWidth="1"/>
    <col min="6015" max="6016" width="8.7109375" style="37" customWidth="1"/>
    <col min="6017" max="6020" width="9.85546875" style="37" customWidth="1"/>
    <col min="6021" max="6021" width="14.42578125" style="37" customWidth="1"/>
    <col min="6022" max="6022" width="12.140625" style="37" customWidth="1"/>
    <col min="6023" max="6023" width="4.28515625" style="37" customWidth="1"/>
    <col min="6024" max="6024" width="11" style="37" customWidth="1"/>
    <col min="6025" max="6029" width="9.28515625" style="37" customWidth="1"/>
    <col min="6030" max="6030" width="4.28515625" style="37" customWidth="1"/>
    <col min="6031" max="6037" width="8.7109375" style="37" customWidth="1"/>
    <col min="6038" max="6038" width="6.28515625" style="37" customWidth="1"/>
    <col min="6039" max="6046" width="8.7109375" style="37" customWidth="1"/>
    <col min="6047" max="6047" width="6.28515625" style="37" customWidth="1"/>
    <col min="6048" max="6095" width="8.7109375" style="37" customWidth="1"/>
    <col min="6096" max="6262" width="9.140625" style="37"/>
    <col min="6263" max="6263" width="3.28515625" style="37" customWidth="1"/>
    <col min="6264" max="6264" width="6.140625" style="37" customWidth="1"/>
    <col min="6265" max="6265" width="20.140625" style="37" customWidth="1"/>
    <col min="6266" max="6266" width="35.42578125" style="37" customWidth="1"/>
    <col min="6267" max="6267" width="9.85546875" style="37" customWidth="1"/>
    <col min="6268" max="6268" width="9.5703125" style="37" customWidth="1"/>
    <col min="6269" max="6269" width="9.28515625" style="37" customWidth="1"/>
    <col min="6270" max="6270" width="10.28515625" style="37" customWidth="1"/>
    <col min="6271" max="6272" width="8.7109375" style="37" customWidth="1"/>
    <col min="6273" max="6276" width="9.85546875" style="37" customWidth="1"/>
    <col min="6277" max="6277" width="14.42578125" style="37" customWidth="1"/>
    <col min="6278" max="6278" width="12.140625" style="37" customWidth="1"/>
    <col min="6279" max="6279" width="4.28515625" style="37" customWidth="1"/>
    <col min="6280" max="6280" width="11" style="37" customWidth="1"/>
    <col min="6281" max="6285" width="9.28515625" style="37" customWidth="1"/>
    <col min="6286" max="6286" width="4.28515625" style="37" customWidth="1"/>
    <col min="6287" max="6293" width="8.7109375" style="37" customWidth="1"/>
    <col min="6294" max="6294" width="6.28515625" style="37" customWidth="1"/>
    <col min="6295" max="6302" width="8.7109375" style="37" customWidth="1"/>
    <col min="6303" max="6303" width="6.28515625" style="37" customWidth="1"/>
    <col min="6304" max="6351" width="8.7109375" style="37" customWidth="1"/>
    <col min="6352" max="6518" width="9.140625" style="37"/>
    <col min="6519" max="6519" width="3.28515625" style="37" customWidth="1"/>
    <col min="6520" max="6520" width="6.140625" style="37" customWidth="1"/>
    <col min="6521" max="6521" width="20.140625" style="37" customWidth="1"/>
    <col min="6522" max="6522" width="35.42578125" style="37" customWidth="1"/>
    <col min="6523" max="6523" width="9.85546875" style="37" customWidth="1"/>
    <col min="6524" max="6524" width="9.5703125" style="37" customWidth="1"/>
    <col min="6525" max="6525" width="9.28515625" style="37" customWidth="1"/>
    <col min="6526" max="6526" width="10.28515625" style="37" customWidth="1"/>
    <col min="6527" max="6528" width="8.7109375" style="37" customWidth="1"/>
    <col min="6529" max="6532" width="9.85546875" style="37" customWidth="1"/>
    <col min="6533" max="6533" width="14.42578125" style="37" customWidth="1"/>
    <col min="6534" max="6534" width="12.140625" style="37" customWidth="1"/>
    <col min="6535" max="6535" width="4.28515625" style="37" customWidth="1"/>
    <col min="6536" max="6536" width="11" style="37" customWidth="1"/>
    <col min="6537" max="6541" width="9.28515625" style="37" customWidth="1"/>
    <col min="6542" max="6542" width="4.28515625" style="37" customWidth="1"/>
    <col min="6543" max="6549" width="8.7109375" style="37" customWidth="1"/>
    <col min="6550" max="6550" width="6.28515625" style="37" customWidth="1"/>
    <col min="6551" max="6558" width="8.7109375" style="37" customWidth="1"/>
    <col min="6559" max="6559" width="6.28515625" style="37" customWidth="1"/>
    <col min="6560" max="6607" width="8.7109375" style="37" customWidth="1"/>
    <col min="6608" max="6774" width="9.140625" style="37"/>
    <col min="6775" max="6775" width="3.28515625" style="37" customWidth="1"/>
    <col min="6776" max="6776" width="6.140625" style="37" customWidth="1"/>
    <col min="6777" max="6777" width="20.140625" style="37" customWidth="1"/>
    <col min="6778" max="6778" width="35.42578125" style="37" customWidth="1"/>
    <col min="6779" max="6779" width="9.85546875" style="37" customWidth="1"/>
    <col min="6780" max="6780" width="9.5703125" style="37" customWidth="1"/>
    <col min="6781" max="6781" width="9.28515625" style="37" customWidth="1"/>
    <col min="6782" max="6782" width="10.28515625" style="37" customWidth="1"/>
    <col min="6783" max="6784" width="8.7109375" style="37" customWidth="1"/>
    <col min="6785" max="6788" width="9.85546875" style="37" customWidth="1"/>
    <col min="6789" max="6789" width="14.42578125" style="37" customWidth="1"/>
    <col min="6790" max="6790" width="12.140625" style="37" customWidth="1"/>
    <col min="6791" max="6791" width="4.28515625" style="37" customWidth="1"/>
    <col min="6792" max="6792" width="11" style="37" customWidth="1"/>
    <col min="6793" max="6797" width="9.28515625" style="37" customWidth="1"/>
    <col min="6798" max="6798" width="4.28515625" style="37" customWidth="1"/>
    <col min="6799" max="6805" width="8.7109375" style="37" customWidth="1"/>
    <col min="6806" max="6806" width="6.28515625" style="37" customWidth="1"/>
    <col min="6807" max="6814" width="8.7109375" style="37" customWidth="1"/>
    <col min="6815" max="6815" width="6.28515625" style="37" customWidth="1"/>
    <col min="6816" max="6863" width="8.7109375" style="37" customWidth="1"/>
    <col min="6864" max="7030" width="9.140625" style="37"/>
    <col min="7031" max="7031" width="3.28515625" style="37" customWidth="1"/>
    <col min="7032" max="7032" width="6.140625" style="37" customWidth="1"/>
    <col min="7033" max="7033" width="20.140625" style="37" customWidth="1"/>
    <col min="7034" max="7034" width="35.42578125" style="37" customWidth="1"/>
    <col min="7035" max="7035" width="9.85546875" style="37" customWidth="1"/>
    <col min="7036" max="7036" width="9.5703125" style="37" customWidth="1"/>
    <col min="7037" max="7037" width="9.28515625" style="37" customWidth="1"/>
    <col min="7038" max="7038" width="10.28515625" style="37" customWidth="1"/>
    <col min="7039" max="7040" width="8.7109375" style="37" customWidth="1"/>
    <col min="7041" max="7044" width="9.85546875" style="37" customWidth="1"/>
    <col min="7045" max="7045" width="14.42578125" style="37" customWidth="1"/>
    <col min="7046" max="7046" width="12.140625" style="37" customWidth="1"/>
    <col min="7047" max="7047" width="4.28515625" style="37" customWidth="1"/>
    <col min="7048" max="7048" width="11" style="37" customWidth="1"/>
    <col min="7049" max="7053" width="9.28515625" style="37" customWidth="1"/>
    <col min="7054" max="7054" width="4.28515625" style="37" customWidth="1"/>
    <col min="7055" max="7061" width="8.7109375" style="37" customWidth="1"/>
    <col min="7062" max="7062" width="6.28515625" style="37" customWidth="1"/>
    <col min="7063" max="7070" width="8.7109375" style="37" customWidth="1"/>
    <col min="7071" max="7071" width="6.28515625" style="37" customWidth="1"/>
    <col min="7072" max="7119" width="8.7109375" style="37" customWidth="1"/>
    <col min="7120" max="7286" width="9.140625" style="37"/>
    <col min="7287" max="7287" width="3.28515625" style="37" customWidth="1"/>
    <col min="7288" max="7288" width="6.140625" style="37" customWidth="1"/>
    <col min="7289" max="7289" width="20.140625" style="37" customWidth="1"/>
    <col min="7290" max="7290" width="35.42578125" style="37" customWidth="1"/>
    <col min="7291" max="7291" width="9.85546875" style="37" customWidth="1"/>
    <col min="7292" max="7292" width="9.5703125" style="37" customWidth="1"/>
    <col min="7293" max="7293" width="9.28515625" style="37" customWidth="1"/>
    <col min="7294" max="7294" width="10.28515625" style="37" customWidth="1"/>
    <col min="7295" max="7296" width="8.7109375" style="37" customWidth="1"/>
    <col min="7297" max="7300" width="9.85546875" style="37" customWidth="1"/>
    <col min="7301" max="7301" width="14.42578125" style="37" customWidth="1"/>
    <col min="7302" max="7302" width="12.140625" style="37" customWidth="1"/>
    <col min="7303" max="7303" width="4.28515625" style="37" customWidth="1"/>
    <col min="7304" max="7304" width="11" style="37" customWidth="1"/>
    <col min="7305" max="7309" width="9.28515625" style="37" customWidth="1"/>
    <col min="7310" max="7310" width="4.28515625" style="37" customWidth="1"/>
    <col min="7311" max="7317" width="8.7109375" style="37" customWidth="1"/>
    <col min="7318" max="7318" width="6.28515625" style="37" customWidth="1"/>
    <col min="7319" max="7326" width="8.7109375" style="37" customWidth="1"/>
    <col min="7327" max="7327" width="6.28515625" style="37" customWidth="1"/>
    <col min="7328" max="7375" width="8.7109375" style="37" customWidth="1"/>
    <col min="7376" max="7542" width="9.140625" style="37"/>
    <col min="7543" max="7543" width="3.28515625" style="37" customWidth="1"/>
    <col min="7544" max="7544" width="6.140625" style="37" customWidth="1"/>
    <col min="7545" max="7545" width="20.140625" style="37" customWidth="1"/>
    <col min="7546" max="7546" width="35.42578125" style="37" customWidth="1"/>
    <col min="7547" max="7547" width="9.85546875" style="37" customWidth="1"/>
    <col min="7548" max="7548" width="9.5703125" style="37" customWidth="1"/>
    <col min="7549" max="7549" width="9.28515625" style="37" customWidth="1"/>
    <col min="7550" max="7550" width="10.28515625" style="37" customWidth="1"/>
    <col min="7551" max="7552" width="8.7109375" style="37" customWidth="1"/>
    <col min="7553" max="7556" width="9.85546875" style="37" customWidth="1"/>
    <col min="7557" max="7557" width="14.42578125" style="37" customWidth="1"/>
    <col min="7558" max="7558" width="12.140625" style="37" customWidth="1"/>
    <col min="7559" max="7559" width="4.28515625" style="37" customWidth="1"/>
    <col min="7560" max="7560" width="11" style="37" customWidth="1"/>
    <col min="7561" max="7565" width="9.28515625" style="37" customWidth="1"/>
    <col min="7566" max="7566" width="4.28515625" style="37" customWidth="1"/>
    <col min="7567" max="7573" width="8.7109375" style="37" customWidth="1"/>
    <col min="7574" max="7574" width="6.28515625" style="37" customWidth="1"/>
    <col min="7575" max="7582" width="8.7109375" style="37" customWidth="1"/>
    <col min="7583" max="7583" width="6.28515625" style="37" customWidth="1"/>
    <col min="7584" max="7631" width="8.7109375" style="37" customWidth="1"/>
    <col min="7632" max="7798" width="9.140625" style="37"/>
    <col min="7799" max="7799" width="3.28515625" style="37" customWidth="1"/>
    <col min="7800" max="7800" width="6.140625" style="37" customWidth="1"/>
    <col min="7801" max="7801" width="20.140625" style="37" customWidth="1"/>
    <col min="7802" max="7802" width="35.42578125" style="37" customWidth="1"/>
    <col min="7803" max="7803" width="9.85546875" style="37" customWidth="1"/>
    <col min="7804" max="7804" width="9.5703125" style="37" customWidth="1"/>
    <col min="7805" max="7805" width="9.28515625" style="37" customWidth="1"/>
    <col min="7806" max="7806" width="10.28515625" style="37" customWidth="1"/>
    <col min="7807" max="7808" width="8.7109375" style="37" customWidth="1"/>
    <col min="7809" max="7812" width="9.85546875" style="37" customWidth="1"/>
    <col min="7813" max="7813" width="14.42578125" style="37" customWidth="1"/>
    <col min="7814" max="7814" width="12.140625" style="37" customWidth="1"/>
    <col min="7815" max="7815" width="4.28515625" style="37" customWidth="1"/>
    <col min="7816" max="7816" width="11" style="37" customWidth="1"/>
    <col min="7817" max="7821" width="9.28515625" style="37" customWidth="1"/>
    <col min="7822" max="7822" width="4.28515625" style="37" customWidth="1"/>
    <col min="7823" max="7829" width="8.7109375" style="37" customWidth="1"/>
    <col min="7830" max="7830" width="6.28515625" style="37" customWidth="1"/>
    <col min="7831" max="7838" width="8.7109375" style="37" customWidth="1"/>
    <col min="7839" max="7839" width="6.28515625" style="37" customWidth="1"/>
    <col min="7840" max="7887" width="8.7109375" style="37" customWidth="1"/>
    <col min="7888" max="8054" width="9.140625" style="37"/>
    <col min="8055" max="8055" width="3.28515625" style="37" customWidth="1"/>
    <col min="8056" max="8056" width="6.140625" style="37" customWidth="1"/>
    <col min="8057" max="8057" width="20.140625" style="37" customWidth="1"/>
    <col min="8058" max="8058" width="35.42578125" style="37" customWidth="1"/>
    <col min="8059" max="8059" width="9.85546875" style="37" customWidth="1"/>
    <col min="8060" max="8060" width="9.5703125" style="37" customWidth="1"/>
    <col min="8061" max="8061" width="9.28515625" style="37" customWidth="1"/>
    <col min="8062" max="8062" width="10.28515625" style="37" customWidth="1"/>
    <col min="8063" max="8064" width="8.7109375" style="37" customWidth="1"/>
    <col min="8065" max="8068" width="9.85546875" style="37" customWidth="1"/>
    <col min="8069" max="8069" width="14.42578125" style="37" customWidth="1"/>
    <col min="8070" max="8070" width="12.140625" style="37" customWidth="1"/>
    <col min="8071" max="8071" width="4.28515625" style="37" customWidth="1"/>
    <col min="8072" max="8072" width="11" style="37" customWidth="1"/>
    <col min="8073" max="8077" width="9.28515625" style="37" customWidth="1"/>
    <col min="8078" max="8078" width="4.28515625" style="37" customWidth="1"/>
    <col min="8079" max="8085" width="8.7109375" style="37" customWidth="1"/>
    <col min="8086" max="8086" width="6.28515625" style="37" customWidth="1"/>
    <col min="8087" max="8094" width="8.7109375" style="37" customWidth="1"/>
    <col min="8095" max="8095" width="6.28515625" style="37" customWidth="1"/>
    <col min="8096" max="8143" width="8.7109375" style="37" customWidth="1"/>
    <col min="8144" max="8310" width="9.140625" style="37"/>
    <col min="8311" max="8311" width="3.28515625" style="37" customWidth="1"/>
    <col min="8312" max="8312" width="6.140625" style="37" customWidth="1"/>
    <col min="8313" max="8313" width="20.140625" style="37" customWidth="1"/>
    <col min="8314" max="8314" width="35.42578125" style="37" customWidth="1"/>
    <col min="8315" max="8315" width="9.85546875" style="37" customWidth="1"/>
    <col min="8316" max="8316" width="9.5703125" style="37" customWidth="1"/>
    <col min="8317" max="8317" width="9.28515625" style="37" customWidth="1"/>
    <col min="8318" max="8318" width="10.28515625" style="37" customWidth="1"/>
    <col min="8319" max="8320" width="8.7109375" style="37" customWidth="1"/>
    <col min="8321" max="8324" width="9.85546875" style="37" customWidth="1"/>
    <col min="8325" max="8325" width="14.42578125" style="37" customWidth="1"/>
    <col min="8326" max="8326" width="12.140625" style="37" customWidth="1"/>
    <col min="8327" max="8327" width="4.28515625" style="37" customWidth="1"/>
    <col min="8328" max="8328" width="11" style="37" customWidth="1"/>
    <col min="8329" max="8333" width="9.28515625" style="37" customWidth="1"/>
    <col min="8334" max="8334" width="4.28515625" style="37" customWidth="1"/>
    <col min="8335" max="8341" width="8.7109375" style="37" customWidth="1"/>
    <col min="8342" max="8342" width="6.28515625" style="37" customWidth="1"/>
    <col min="8343" max="8350" width="8.7109375" style="37" customWidth="1"/>
    <col min="8351" max="8351" width="6.28515625" style="37" customWidth="1"/>
    <col min="8352" max="8399" width="8.7109375" style="37" customWidth="1"/>
    <col min="8400" max="8566" width="9.140625" style="37"/>
    <col min="8567" max="8567" width="3.28515625" style="37" customWidth="1"/>
    <col min="8568" max="8568" width="6.140625" style="37" customWidth="1"/>
    <col min="8569" max="8569" width="20.140625" style="37" customWidth="1"/>
    <col min="8570" max="8570" width="35.42578125" style="37" customWidth="1"/>
    <col min="8571" max="8571" width="9.85546875" style="37" customWidth="1"/>
    <col min="8572" max="8572" width="9.5703125" style="37" customWidth="1"/>
    <col min="8573" max="8573" width="9.28515625" style="37" customWidth="1"/>
    <col min="8574" max="8574" width="10.28515625" style="37" customWidth="1"/>
    <col min="8575" max="8576" width="8.7109375" style="37" customWidth="1"/>
    <col min="8577" max="8580" width="9.85546875" style="37" customWidth="1"/>
    <col min="8581" max="8581" width="14.42578125" style="37" customWidth="1"/>
    <col min="8582" max="8582" width="12.140625" style="37" customWidth="1"/>
    <col min="8583" max="8583" width="4.28515625" style="37" customWidth="1"/>
    <col min="8584" max="8584" width="11" style="37" customWidth="1"/>
    <col min="8585" max="8589" width="9.28515625" style="37" customWidth="1"/>
    <col min="8590" max="8590" width="4.28515625" style="37" customWidth="1"/>
    <col min="8591" max="8597" width="8.7109375" style="37" customWidth="1"/>
    <col min="8598" max="8598" width="6.28515625" style="37" customWidth="1"/>
    <col min="8599" max="8606" width="8.7109375" style="37" customWidth="1"/>
    <col min="8607" max="8607" width="6.28515625" style="37" customWidth="1"/>
    <col min="8608" max="8655" width="8.7109375" style="37" customWidth="1"/>
    <col min="8656" max="8822" width="9.140625" style="37"/>
    <col min="8823" max="8823" width="3.28515625" style="37" customWidth="1"/>
    <col min="8824" max="8824" width="6.140625" style="37" customWidth="1"/>
    <col min="8825" max="8825" width="20.140625" style="37" customWidth="1"/>
    <col min="8826" max="8826" width="35.42578125" style="37" customWidth="1"/>
    <col min="8827" max="8827" width="9.85546875" style="37" customWidth="1"/>
    <col min="8828" max="8828" width="9.5703125" style="37" customWidth="1"/>
    <col min="8829" max="8829" width="9.28515625" style="37" customWidth="1"/>
    <col min="8830" max="8830" width="10.28515625" style="37" customWidth="1"/>
    <col min="8831" max="8832" width="8.7109375" style="37" customWidth="1"/>
    <col min="8833" max="8836" width="9.85546875" style="37" customWidth="1"/>
    <col min="8837" max="8837" width="14.42578125" style="37" customWidth="1"/>
    <col min="8838" max="8838" width="12.140625" style="37" customWidth="1"/>
    <col min="8839" max="8839" width="4.28515625" style="37" customWidth="1"/>
    <col min="8840" max="8840" width="11" style="37" customWidth="1"/>
    <col min="8841" max="8845" width="9.28515625" style="37" customWidth="1"/>
    <col min="8846" max="8846" width="4.28515625" style="37" customWidth="1"/>
    <col min="8847" max="8853" width="8.7109375" style="37" customWidth="1"/>
    <col min="8854" max="8854" width="6.28515625" style="37" customWidth="1"/>
    <col min="8855" max="8862" width="8.7109375" style="37" customWidth="1"/>
    <col min="8863" max="8863" width="6.28515625" style="37" customWidth="1"/>
    <col min="8864" max="8911" width="8.7109375" style="37" customWidth="1"/>
    <col min="8912" max="9078" width="9.140625" style="37"/>
    <col min="9079" max="9079" width="3.28515625" style="37" customWidth="1"/>
    <col min="9080" max="9080" width="6.140625" style="37" customWidth="1"/>
    <col min="9081" max="9081" width="20.140625" style="37" customWidth="1"/>
    <col min="9082" max="9082" width="35.42578125" style="37" customWidth="1"/>
    <col min="9083" max="9083" width="9.85546875" style="37" customWidth="1"/>
    <col min="9084" max="9084" width="9.5703125" style="37" customWidth="1"/>
    <col min="9085" max="9085" width="9.28515625" style="37" customWidth="1"/>
    <col min="9086" max="9086" width="10.28515625" style="37" customWidth="1"/>
    <col min="9087" max="9088" width="8.7109375" style="37" customWidth="1"/>
    <col min="9089" max="9092" width="9.85546875" style="37" customWidth="1"/>
    <col min="9093" max="9093" width="14.42578125" style="37" customWidth="1"/>
    <col min="9094" max="9094" width="12.140625" style="37" customWidth="1"/>
    <col min="9095" max="9095" width="4.28515625" style="37" customWidth="1"/>
    <col min="9096" max="9096" width="11" style="37" customWidth="1"/>
    <col min="9097" max="9101" width="9.28515625" style="37" customWidth="1"/>
    <col min="9102" max="9102" width="4.28515625" style="37" customWidth="1"/>
    <col min="9103" max="9109" width="8.7109375" style="37" customWidth="1"/>
    <col min="9110" max="9110" width="6.28515625" style="37" customWidth="1"/>
    <col min="9111" max="9118" width="8.7109375" style="37" customWidth="1"/>
    <col min="9119" max="9119" width="6.28515625" style="37" customWidth="1"/>
    <col min="9120" max="9167" width="8.7109375" style="37" customWidth="1"/>
    <col min="9168" max="9334" width="9.140625" style="37"/>
    <col min="9335" max="9335" width="3.28515625" style="37" customWidth="1"/>
    <col min="9336" max="9336" width="6.140625" style="37" customWidth="1"/>
    <col min="9337" max="9337" width="20.140625" style="37" customWidth="1"/>
    <col min="9338" max="9338" width="35.42578125" style="37" customWidth="1"/>
    <col min="9339" max="9339" width="9.85546875" style="37" customWidth="1"/>
    <col min="9340" max="9340" width="9.5703125" style="37" customWidth="1"/>
    <col min="9341" max="9341" width="9.28515625" style="37" customWidth="1"/>
    <col min="9342" max="9342" width="10.28515625" style="37" customWidth="1"/>
    <col min="9343" max="9344" width="8.7109375" style="37" customWidth="1"/>
    <col min="9345" max="9348" width="9.85546875" style="37" customWidth="1"/>
    <col min="9349" max="9349" width="14.42578125" style="37" customWidth="1"/>
    <col min="9350" max="9350" width="12.140625" style="37" customWidth="1"/>
    <col min="9351" max="9351" width="4.28515625" style="37" customWidth="1"/>
    <col min="9352" max="9352" width="11" style="37" customWidth="1"/>
    <col min="9353" max="9357" width="9.28515625" style="37" customWidth="1"/>
    <col min="9358" max="9358" width="4.28515625" style="37" customWidth="1"/>
    <col min="9359" max="9365" width="8.7109375" style="37" customWidth="1"/>
    <col min="9366" max="9366" width="6.28515625" style="37" customWidth="1"/>
    <col min="9367" max="9374" width="8.7109375" style="37" customWidth="1"/>
    <col min="9375" max="9375" width="6.28515625" style="37" customWidth="1"/>
    <col min="9376" max="9423" width="8.7109375" style="37" customWidth="1"/>
    <col min="9424" max="9590" width="9.140625" style="37"/>
    <col min="9591" max="9591" width="3.28515625" style="37" customWidth="1"/>
    <col min="9592" max="9592" width="6.140625" style="37" customWidth="1"/>
    <col min="9593" max="9593" width="20.140625" style="37" customWidth="1"/>
    <col min="9594" max="9594" width="35.42578125" style="37" customWidth="1"/>
    <col min="9595" max="9595" width="9.85546875" style="37" customWidth="1"/>
    <col min="9596" max="9596" width="9.5703125" style="37" customWidth="1"/>
    <col min="9597" max="9597" width="9.28515625" style="37" customWidth="1"/>
    <col min="9598" max="9598" width="10.28515625" style="37" customWidth="1"/>
    <col min="9599" max="9600" width="8.7109375" style="37" customWidth="1"/>
    <col min="9601" max="9604" width="9.85546875" style="37" customWidth="1"/>
    <col min="9605" max="9605" width="14.42578125" style="37" customWidth="1"/>
    <col min="9606" max="9606" width="12.140625" style="37" customWidth="1"/>
    <col min="9607" max="9607" width="4.28515625" style="37" customWidth="1"/>
    <col min="9608" max="9608" width="11" style="37" customWidth="1"/>
    <col min="9609" max="9613" width="9.28515625" style="37" customWidth="1"/>
    <col min="9614" max="9614" width="4.28515625" style="37" customWidth="1"/>
    <col min="9615" max="9621" width="8.7109375" style="37" customWidth="1"/>
    <col min="9622" max="9622" width="6.28515625" style="37" customWidth="1"/>
    <col min="9623" max="9630" width="8.7109375" style="37" customWidth="1"/>
    <col min="9631" max="9631" width="6.28515625" style="37" customWidth="1"/>
    <col min="9632" max="9679" width="8.7109375" style="37" customWidth="1"/>
    <col min="9680" max="9846" width="9.140625" style="37"/>
    <col min="9847" max="9847" width="3.28515625" style="37" customWidth="1"/>
    <col min="9848" max="9848" width="6.140625" style="37" customWidth="1"/>
    <col min="9849" max="9849" width="20.140625" style="37" customWidth="1"/>
    <col min="9850" max="9850" width="35.42578125" style="37" customWidth="1"/>
    <col min="9851" max="9851" width="9.85546875" style="37" customWidth="1"/>
    <col min="9852" max="9852" width="9.5703125" style="37" customWidth="1"/>
    <col min="9853" max="9853" width="9.28515625" style="37" customWidth="1"/>
    <col min="9854" max="9854" width="10.28515625" style="37" customWidth="1"/>
    <col min="9855" max="9856" width="8.7109375" style="37" customWidth="1"/>
    <col min="9857" max="9860" width="9.85546875" style="37" customWidth="1"/>
    <col min="9861" max="9861" width="14.42578125" style="37" customWidth="1"/>
    <col min="9862" max="9862" width="12.140625" style="37" customWidth="1"/>
    <col min="9863" max="9863" width="4.28515625" style="37" customWidth="1"/>
    <col min="9864" max="9864" width="11" style="37" customWidth="1"/>
    <col min="9865" max="9869" width="9.28515625" style="37" customWidth="1"/>
    <col min="9870" max="9870" width="4.28515625" style="37" customWidth="1"/>
    <col min="9871" max="9877" width="8.7109375" style="37" customWidth="1"/>
    <col min="9878" max="9878" width="6.28515625" style="37" customWidth="1"/>
    <col min="9879" max="9886" width="8.7109375" style="37" customWidth="1"/>
    <col min="9887" max="9887" width="6.28515625" style="37" customWidth="1"/>
    <col min="9888" max="9935" width="8.7109375" style="37" customWidth="1"/>
    <col min="9936" max="10102" width="9.140625" style="37"/>
    <col min="10103" max="10103" width="3.28515625" style="37" customWidth="1"/>
    <col min="10104" max="10104" width="6.140625" style="37" customWidth="1"/>
    <col min="10105" max="10105" width="20.140625" style="37" customWidth="1"/>
    <col min="10106" max="10106" width="35.42578125" style="37" customWidth="1"/>
    <col min="10107" max="10107" width="9.85546875" style="37" customWidth="1"/>
    <col min="10108" max="10108" width="9.5703125" style="37" customWidth="1"/>
    <col min="10109" max="10109" width="9.28515625" style="37" customWidth="1"/>
    <col min="10110" max="10110" width="10.28515625" style="37" customWidth="1"/>
    <col min="10111" max="10112" width="8.7109375" style="37" customWidth="1"/>
    <col min="10113" max="10116" width="9.85546875" style="37" customWidth="1"/>
    <col min="10117" max="10117" width="14.42578125" style="37" customWidth="1"/>
    <col min="10118" max="10118" width="12.140625" style="37" customWidth="1"/>
    <col min="10119" max="10119" width="4.28515625" style="37" customWidth="1"/>
    <col min="10120" max="10120" width="11" style="37" customWidth="1"/>
    <col min="10121" max="10125" width="9.28515625" style="37" customWidth="1"/>
    <col min="10126" max="10126" width="4.28515625" style="37" customWidth="1"/>
    <col min="10127" max="10133" width="8.7109375" style="37" customWidth="1"/>
    <col min="10134" max="10134" width="6.28515625" style="37" customWidth="1"/>
    <col min="10135" max="10142" width="8.7109375" style="37" customWidth="1"/>
    <col min="10143" max="10143" width="6.28515625" style="37" customWidth="1"/>
    <col min="10144" max="10191" width="8.7109375" style="37" customWidth="1"/>
    <col min="10192" max="10358" width="9.140625" style="37"/>
    <col min="10359" max="10359" width="3.28515625" style="37" customWidth="1"/>
    <col min="10360" max="10360" width="6.140625" style="37" customWidth="1"/>
    <col min="10361" max="10361" width="20.140625" style="37" customWidth="1"/>
    <col min="10362" max="10362" width="35.42578125" style="37" customWidth="1"/>
    <col min="10363" max="10363" width="9.85546875" style="37" customWidth="1"/>
    <col min="10364" max="10364" width="9.5703125" style="37" customWidth="1"/>
    <col min="10365" max="10365" width="9.28515625" style="37" customWidth="1"/>
    <col min="10366" max="10366" width="10.28515625" style="37" customWidth="1"/>
    <col min="10367" max="10368" width="8.7109375" style="37" customWidth="1"/>
    <col min="10369" max="10372" width="9.85546875" style="37" customWidth="1"/>
    <col min="10373" max="10373" width="14.42578125" style="37" customWidth="1"/>
    <col min="10374" max="10374" width="12.140625" style="37" customWidth="1"/>
    <col min="10375" max="10375" width="4.28515625" style="37" customWidth="1"/>
    <col min="10376" max="10376" width="11" style="37" customWidth="1"/>
    <col min="10377" max="10381" width="9.28515625" style="37" customWidth="1"/>
    <col min="10382" max="10382" width="4.28515625" style="37" customWidth="1"/>
    <col min="10383" max="10389" width="8.7109375" style="37" customWidth="1"/>
    <col min="10390" max="10390" width="6.28515625" style="37" customWidth="1"/>
    <col min="10391" max="10398" width="8.7109375" style="37" customWidth="1"/>
    <col min="10399" max="10399" width="6.28515625" style="37" customWidth="1"/>
    <col min="10400" max="10447" width="8.7109375" style="37" customWidth="1"/>
    <col min="10448" max="10614" width="9.140625" style="37"/>
    <col min="10615" max="10615" width="3.28515625" style="37" customWidth="1"/>
    <col min="10616" max="10616" width="6.140625" style="37" customWidth="1"/>
    <col min="10617" max="10617" width="20.140625" style="37" customWidth="1"/>
    <col min="10618" max="10618" width="35.42578125" style="37" customWidth="1"/>
    <col min="10619" max="10619" width="9.85546875" style="37" customWidth="1"/>
    <col min="10620" max="10620" width="9.5703125" style="37" customWidth="1"/>
    <col min="10621" max="10621" width="9.28515625" style="37" customWidth="1"/>
    <col min="10622" max="10622" width="10.28515625" style="37" customWidth="1"/>
    <col min="10623" max="10624" width="8.7109375" style="37" customWidth="1"/>
    <col min="10625" max="10628" width="9.85546875" style="37" customWidth="1"/>
    <col min="10629" max="10629" width="14.42578125" style="37" customWidth="1"/>
    <col min="10630" max="10630" width="12.140625" style="37" customWidth="1"/>
    <col min="10631" max="10631" width="4.28515625" style="37" customWidth="1"/>
    <col min="10632" max="10632" width="11" style="37" customWidth="1"/>
    <col min="10633" max="10637" width="9.28515625" style="37" customWidth="1"/>
    <col min="10638" max="10638" width="4.28515625" style="37" customWidth="1"/>
    <col min="10639" max="10645" width="8.7109375" style="37" customWidth="1"/>
    <col min="10646" max="10646" width="6.28515625" style="37" customWidth="1"/>
    <col min="10647" max="10654" width="8.7109375" style="37" customWidth="1"/>
    <col min="10655" max="10655" width="6.28515625" style="37" customWidth="1"/>
    <col min="10656" max="10703" width="8.7109375" style="37" customWidth="1"/>
    <col min="10704" max="10870" width="9.140625" style="37"/>
    <col min="10871" max="10871" width="3.28515625" style="37" customWidth="1"/>
    <col min="10872" max="10872" width="6.140625" style="37" customWidth="1"/>
    <col min="10873" max="10873" width="20.140625" style="37" customWidth="1"/>
    <col min="10874" max="10874" width="35.42578125" style="37" customWidth="1"/>
    <col min="10875" max="10875" width="9.85546875" style="37" customWidth="1"/>
    <col min="10876" max="10876" width="9.5703125" style="37" customWidth="1"/>
    <col min="10877" max="10877" width="9.28515625" style="37" customWidth="1"/>
    <col min="10878" max="10878" width="10.28515625" style="37" customWidth="1"/>
    <col min="10879" max="10880" width="8.7109375" style="37" customWidth="1"/>
    <col min="10881" max="10884" width="9.85546875" style="37" customWidth="1"/>
    <col min="10885" max="10885" width="14.42578125" style="37" customWidth="1"/>
    <col min="10886" max="10886" width="12.140625" style="37" customWidth="1"/>
    <col min="10887" max="10887" width="4.28515625" style="37" customWidth="1"/>
    <col min="10888" max="10888" width="11" style="37" customWidth="1"/>
    <col min="10889" max="10893" width="9.28515625" style="37" customWidth="1"/>
    <col min="10894" max="10894" width="4.28515625" style="37" customWidth="1"/>
    <col min="10895" max="10901" width="8.7109375" style="37" customWidth="1"/>
    <col min="10902" max="10902" width="6.28515625" style="37" customWidth="1"/>
    <col min="10903" max="10910" width="8.7109375" style="37" customWidth="1"/>
    <col min="10911" max="10911" width="6.28515625" style="37" customWidth="1"/>
    <col min="10912" max="10959" width="8.7109375" style="37" customWidth="1"/>
    <col min="10960" max="11126" width="9.140625" style="37"/>
    <col min="11127" max="11127" width="3.28515625" style="37" customWidth="1"/>
    <col min="11128" max="11128" width="6.140625" style="37" customWidth="1"/>
    <col min="11129" max="11129" width="20.140625" style="37" customWidth="1"/>
    <col min="11130" max="11130" width="35.42578125" style="37" customWidth="1"/>
    <col min="11131" max="11131" width="9.85546875" style="37" customWidth="1"/>
    <col min="11132" max="11132" width="9.5703125" style="37" customWidth="1"/>
    <col min="11133" max="11133" width="9.28515625" style="37" customWidth="1"/>
    <col min="11134" max="11134" width="10.28515625" style="37" customWidth="1"/>
    <col min="11135" max="11136" width="8.7109375" style="37" customWidth="1"/>
    <col min="11137" max="11140" width="9.85546875" style="37" customWidth="1"/>
    <col min="11141" max="11141" width="14.42578125" style="37" customWidth="1"/>
    <col min="11142" max="11142" width="12.140625" style="37" customWidth="1"/>
    <col min="11143" max="11143" width="4.28515625" style="37" customWidth="1"/>
    <col min="11144" max="11144" width="11" style="37" customWidth="1"/>
    <col min="11145" max="11149" width="9.28515625" style="37" customWidth="1"/>
    <col min="11150" max="11150" width="4.28515625" style="37" customWidth="1"/>
    <col min="11151" max="11157" width="8.7109375" style="37" customWidth="1"/>
    <col min="11158" max="11158" width="6.28515625" style="37" customWidth="1"/>
    <col min="11159" max="11166" width="8.7109375" style="37" customWidth="1"/>
    <col min="11167" max="11167" width="6.28515625" style="37" customWidth="1"/>
    <col min="11168" max="11215" width="8.7109375" style="37" customWidth="1"/>
    <col min="11216" max="11382" width="9.140625" style="37"/>
    <col min="11383" max="11383" width="3.28515625" style="37" customWidth="1"/>
    <col min="11384" max="11384" width="6.140625" style="37" customWidth="1"/>
    <col min="11385" max="11385" width="20.140625" style="37" customWidth="1"/>
    <col min="11386" max="11386" width="35.42578125" style="37" customWidth="1"/>
    <col min="11387" max="11387" width="9.85546875" style="37" customWidth="1"/>
    <col min="11388" max="11388" width="9.5703125" style="37" customWidth="1"/>
    <col min="11389" max="11389" width="9.28515625" style="37" customWidth="1"/>
    <col min="11390" max="11390" width="10.28515625" style="37" customWidth="1"/>
    <col min="11391" max="11392" width="8.7109375" style="37" customWidth="1"/>
    <col min="11393" max="11396" width="9.85546875" style="37" customWidth="1"/>
    <col min="11397" max="11397" width="14.42578125" style="37" customWidth="1"/>
    <col min="11398" max="11398" width="12.140625" style="37" customWidth="1"/>
    <col min="11399" max="11399" width="4.28515625" style="37" customWidth="1"/>
    <col min="11400" max="11400" width="11" style="37" customWidth="1"/>
    <col min="11401" max="11405" width="9.28515625" style="37" customWidth="1"/>
    <col min="11406" max="11406" width="4.28515625" style="37" customWidth="1"/>
    <col min="11407" max="11413" width="8.7109375" style="37" customWidth="1"/>
    <col min="11414" max="11414" width="6.28515625" style="37" customWidth="1"/>
    <col min="11415" max="11422" width="8.7109375" style="37" customWidth="1"/>
    <col min="11423" max="11423" width="6.28515625" style="37" customWidth="1"/>
    <col min="11424" max="11471" width="8.7109375" style="37" customWidth="1"/>
    <col min="11472" max="11638" width="9.140625" style="37"/>
    <col min="11639" max="11639" width="3.28515625" style="37" customWidth="1"/>
    <col min="11640" max="11640" width="6.140625" style="37" customWidth="1"/>
    <col min="11641" max="11641" width="20.140625" style="37" customWidth="1"/>
    <col min="11642" max="11642" width="35.42578125" style="37" customWidth="1"/>
    <col min="11643" max="11643" width="9.85546875" style="37" customWidth="1"/>
    <col min="11644" max="11644" width="9.5703125" style="37" customWidth="1"/>
    <col min="11645" max="11645" width="9.28515625" style="37" customWidth="1"/>
    <col min="11646" max="11646" width="10.28515625" style="37" customWidth="1"/>
    <col min="11647" max="11648" width="8.7109375" style="37" customWidth="1"/>
    <col min="11649" max="11652" width="9.85546875" style="37" customWidth="1"/>
    <col min="11653" max="11653" width="14.42578125" style="37" customWidth="1"/>
    <col min="11654" max="11654" width="12.140625" style="37" customWidth="1"/>
    <col min="11655" max="11655" width="4.28515625" style="37" customWidth="1"/>
    <col min="11656" max="11656" width="11" style="37" customWidth="1"/>
    <col min="11657" max="11661" width="9.28515625" style="37" customWidth="1"/>
    <col min="11662" max="11662" width="4.28515625" style="37" customWidth="1"/>
    <col min="11663" max="11669" width="8.7109375" style="37" customWidth="1"/>
    <col min="11670" max="11670" width="6.28515625" style="37" customWidth="1"/>
    <col min="11671" max="11678" width="8.7109375" style="37" customWidth="1"/>
    <col min="11679" max="11679" width="6.28515625" style="37" customWidth="1"/>
    <col min="11680" max="11727" width="8.7109375" style="37" customWidth="1"/>
    <col min="11728" max="11894" width="9.140625" style="37"/>
    <col min="11895" max="11895" width="3.28515625" style="37" customWidth="1"/>
    <col min="11896" max="11896" width="6.140625" style="37" customWidth="1"/>
    <col min="11897" max="11897" width="20.140625" style="37" customWidth="1"/>
    <col min="11898" max="11898" width="35.42578125" style="37" customWidth="1"/>
    <col min="11899" max="11899" width="9.85546875" style="37" customWidth="1"/>
    <col min="11900" max="11900" width="9.5703125" style="37" customWidth="1"/>
    <col min="11901" max="11901" width="9.28515625" style="37" customWidth="1"/>
    <col min="11902" max="11902" width="10.28515625" style="37" customWidth="1"/>
    <col min="11903" max="11904" width="8.7109375" style="37" customWidth="1"/>
    <col min="11905" max="11908" width="9.85546875" style="37" customWidth="1"/>
    <col min="11909" max="11909" width="14.42578125" style="37" customWidth="1"/>
    <col min="11910" max="11910" width="12.140625" style="37" customWidth="1"/>
    <col min="11911" max="11911" width="4.28515625" style="37" customWidth="1"/>
    <col min="11912" max="11912" width="11" style="37" customWidth="1"/>
    <col min="11913" max="11917" width="9.28515625" style="37" customWidth="1"/>
    <col min="11918" max="11918" width="4.28515625" style="37" customWidth="1"/>
    <col min="11919" max="11925" width="8.7109375" style="37" customWidth="1"/>
    <col min="11926" max="11926" width="6.28515625" style="37" customWidth="1"/>
    <col min="11927" max="11934" width="8.7109375" style="37" customWidth="1"/>
    <col min="11935" max="11935" width="6.28515625" style="37" customWidth="1"/>
    <col min="11936" max="11983" width="8.7109375" style="37" customWidth="1"/>
    <col min="11984" max="12150" width="9.140625" style="37"/>
    <col min="12151" max="12151" width="3.28515625" style="37" customWidth="1"/>
    <col min="12152" max="12152" width="6.140625" style="37" customWidth="1"/>
    <col min="12153" max="12153" width="20.140625" style="37" customWidth="1"/>
    <col min="12154" max="12154" width="35.42578125" style="37" customWidth="1"/>
    <col min="12155" max="12155" width="9.85546875" style="37" customWidth="1"/>
    <col min="12156" max="12156" width="9.5703125" style="37" customWidth="1"/>
    <col min="12157" max="12157" width="9.28515625" style="37" customWidth="1"/>
    <col min="12158" max="12158" width="10.28515625" style="37" customWidth="1"/>
    <col min="12159" max="12160" width="8.7109375" style="37" customWidth="1"/>
    <col min="12161" max="12164" width="9.85546875" style="37" customWidth="1"/>
    <col min="12165" max="12165" width="14.42578125" style="37" customWidth="1"/>
    <col min="12166" max="12166" width="12.140625" style="37" customWidth="1"/>
    <col min="12167" max="12167" width="4.28515625" style="37" customWidth="1"/>
    <col min="12168" max="12168" width="11" style="37" customWidth="1"/>
    <col min="12169" max="12173" width="9.28515625" style="37" customWidth="1"/>
    <col min="12174" max="12174" width="4.28515625" style="37" customWidth="1"/>
    <col min="12175" max="12181" width="8.7109375" style="37" customWidth="1"/>
    <col min="12182" max="12182" width="6.28515625" style="37" customWidth="1"/>
    <col min="12183" max="12190" width="8.7109375" style="37" customWidth="1"/>
    <col min="12191" max="12191" width="6.28515625" style="37" customWidth="1"/>
    <col min="12192" max="12239" width="8.7109375" style="37" customWidth="1"/>
    <col min="12240" max="12406" width="9.140625" style="37"/>
    <col min="12407" max="12407" width="3.28515625" style="37" customWidth="1"/>
    <col min="12408" max="12408" width="6.140625" style="37" customWidth="1"/>
    <col min="12409" max="12409" width="20.140625" style="37" customWidth="1"/>
    <col min="12410" max="12410" width="35.42578125" style="37" customWidth="1"/>
    <col min="12411" max="12411" width="9.85546875" style="37" customWidth="1"/>
    <col min="12412" max="12412" width="9.5703125" style="37" customWidth="1"/>
    <col min="12413" max="12413" width="9.28515625" style="37" customWidth="1"/>
    <col min="12414" max="12414" width="10.28515625" style="37" customWidth="1"/>
    <col min="12415" max="12416" width="8.7109375" style="37" customWidth="1"/>
    <col min="12417" max="12420" width="9.85546875" style="37" customWidth="1"/>
    <col min="12421" max="12421" width="14.42578125" style="37" customWidth="1"/>
    <col min="12422" max="12422" width="12.140625" style="37" customWidth="1"/>
    <col min="12423" max="12423" width="4.28515625" style="37" customWidth="1"/>
    <col min="12424" max="12424" width="11" style="37" customWidth="1"/>
    <col min="12425" max="12429" width="9.28515625" style="37" customWidth="1"/>
    <col min="12430" max="12430" width="4.28515625" style="37" customWidth="1"/>
    <col min="12431" max="12437" width="8.7109375" style="37" customWidth="1"/>
    <col min="12438" max="12438" width="6.28515625" style="37" customWidth="1"/>
    <col min="12439" max="12446" width="8.7109375" style="37" customWidth="1"/>
    <col min="12447" max="12447" width="6.28515625" style="37" customWidth="1"/>
    <col min="12448" max="12495" width="8.7109375" style="37" customWidth="1"/>
    <col min="12496" max="12662" width="9.140625" style="37"/>
    <col min="12663" max="12663" width="3.28515625" style="37" customWidth="1"/>
    <col min="12664" max="12664" width="6.140625" style="37" customWidth="1"/>
    <col min="12665" max="12665" width="20.140625" style="37" customWidth="1"/>
    <col min="12666" max="12666" width="35.42578125" style="37" customWidth="1"/>
    <col min="12667" max="12667" width="9.85546875" style="37" customWidth="1"/>
    <col min="12668" max="12668" width="9.5703125" style="37" customWidth="1"/>
    <col min="12669" max="12669" width="9.28515625" style="37" customWidth="1"/>
    <col min="12670" max="12670" width="10.28515625" style="37" customWidth="1"/>
    <col min="12671" max="12672" width="8.7109375" style="37" customWidth="1"/>
    <col min="12673" max="12676" width="9.85546875" style="37" customWidth="1"/>
    <col min="12677" max="12677" width="14.42578125" style="37" customWidth="1"/>
    <col min="12678" max="12678" width="12.140625" style="37" customWidth="1"/>
    <col min="12679" max="12679" width="4.28515625" style="37" customWidth="1"/>
    <col min="12680" max="12680" width="11" style="37" customWidth="1"/>
    <col min="12681" max="12685" width="9.28515625" style="37" customWidth="1"/>
    <col min="12686" max="12686" width="4.28515625" style="37" customWidth="1"/>
    <col min="12687" max="12693" width="8.7109375" style="37" customWidth="1"/>
    <col min="12694" max="12694" width="6.28515625" style="37" customWidth="1"/>
    <col min="12695" max="12702" width="8.7109375" style="37" customWidth="1"/>
    <col min="12703" max="12703" width="6.28515625" style="37" customWidth="1"/>
    <col min="12704" max="12751" width="8.7109375" style="37" customWidth="1"/>
    <col min="12752" max="12918" width="9.140625" style="37"/>
    <col min="12919" max="12919" width="3.28515625" style="37" customWidth="1"/>
    <col min="12920" max="12920" width="6.140625" style="37" customWidth="1"/>
    <col min="12921" max="12921" width="20.140625" style="37" customWidth="1"/>
    <col min="12922" max="12922" width="35.42578125" style="37" customWidth="1"/>
    <col min="12923" max="12923" width="9.85546875" style="37" customWidth="1"/>
    <col min="12924" max="12924" width="9.5703125" style="37" customWidth="1"/>
    <col min="12925" max="12925" width="9.28515625" style="37" customWidth="1"/>
    <col min="12926" max="12926" width="10.28515625" style="37" customWidth="1"/>
    <col min="12927" max="12928" width="8.7109375" style="37" customWidth="1"/>
    <col min="12929" max="12932" width="9.85546875" style="37" customWidth="1"/>
    <col min="12933" max="12933" width="14.42578125" style="37" customWidth="1"/>
    <col min="12934" max="12934" width="12.140625" style="37" customWidth="1"/>
    <col min="12935" max="12935" width="4.28515625" style="37" customWidth="1"/>
    <col min="12936" max="12936" width="11" style="37" customWidth="1"/>
    <col min="12937" max="12941" width="9.28515625" style="37" customWidth="1"/>
    <col min="12942" max="12942" width="4.28515625" style="37" customWidth="1"/>
    <col min="12943" max="12949" width="8.7109375" style="37" customWidth="1"/>
    <col min="12950" max="12950" width="6.28515625" style="37" customWidth="1"/>
    <col min="12951" max="12958" width="8.7109375" style="37" customWidth="1"/>
    <col min="12959" max="12959" width="6.28515625" style="37" customWidth="1"/>
    <col min="12960" max="13007" width="8.7109375" style="37" customWidth="1"/>
    <col min="13008" max="13174" width="9.140625" style="37"/>
    <col min="13175" max="13175" width="3.28515625" style="37" customWidth="1"/>
    <col min="13176" max="13176" width="6.140625" style="37" customWidth="1"/>
    <col min="13177" max="13177" width="20.140625" style="37" customWidth="1"/>
    <col min="13178" max="13178" width="35.42578125" style="37" customWidth="1"/>
    <col min="13179" max="13179" width="9.85546875" style="37" customWidth="1"/>
    <col min="13180" max="13180" width="9.5703125" style="37" customWidth="1"/>
    <col min="13181" max="13181" width="9.28515625" style="37" customWidth="1"/>
    <col min="13182" max="13182" width="10.28515625" style="37" customWidth="1"/>
    <col min="13183" max="13184" width="8.7109375" style="37" customWidth="1"/>
    <col min="13185" max="13188" width="9.85546875" style="37" customWidth="1"/>
    <col min="13189" max="13189" width="14.42578125" style="37" customWidth="1"/>
    <col min="13190" max="13190" width="12.140625" style="37" customWidth="1"/>
    <col min="13191" max="13191" width="4.28515625" style="37" customWidth="1"/>
    <col min="13192" max="13192" width="11" style="37" customWidth="1"/>
    <col min="13193" max="13197" width="9.28515625" style="37" customWidth="1"/>
    <col min="13198" max="13198" width="4.28515625" style="37" customWidth="1"/>
    <col min="13199" max="13205" width="8.7109375" style="37" customWidth="1"/>
    <col min="13206" max="13206" width="6.28515625" style="37" customWidth="1"/>
    <col min="13207" max="13214" width="8.7109375" style="37" customWidth="1"/>
    <col min="13215" max="13215" width="6.28515625" style="37" customWidth="1"/>
    <col min="13216" max="13263" width="8.7109375" style="37" customWidth="1"/>
    <col min="13264" max="13430" width="9.140625" style="37"/>
    <col min="13431" max="13431" width="3.28515625" style="37" customWidth="1"/>
    <col min="13432" max="13432" width="6.140625" style="37" customWidth="1"/>
    <col min="13433" max="13433" width="20.140625" style="37" customWidth="1"/>
    <col min="13434" max="13434" width="35.42578125" style="37" customWidth="1"/>
    <col min="13435" max="13435" width="9.85546875" style="37" customWidth="1"/>
    <col min="13436" max="13436" width="9.5703125" style="37" customWidth="1"/>
    <col min="13437" max="13437" width="9.28515625" style="37" customWidth="1"/>
    <col min="13438" max="13438" width="10.28515625" style="37" customWidth="1"/>
    <col min="13439" max="13440" width="8.7109375" style="37" customWidth="1"/>
    <col min="13441" max="13444" width="9.85546875" style="37" customWidth="1"/>
    <col min="13445" max="13445" width="14.42578125" style="37" customWidth="1"/>
    <col min="13446" max="13446" width="12.140625" style="37" customWidth="1"/>
    <col min="13447" max="13447" width="4.28515625" style="37" customWidth="1"/>
    <col min="13448" max="13448" width="11" style="37" customWidth="1"/>
    <col min="13449" max="13453" width="9.28515625" style="37" customWidth="1"/>
    <col min="13454" max="13454" width="4.28515625" style="37" customWidth="1"/>
    <col min="13455" max="13461" width="8.7109375" style="37" customWidth="1"/>
    <col min="13462" max="13462" width="6.28515625" style="37" customWidth="1"/>
    <col min="13463" max="13470" width="8.7109375" style="37" customWidth="1"/>
    <col min="13471" max="13471" width="6.28515625" style="37" customWidth="1"/>
    <col min="13472" max="13519" width="8.7109375" style="37" customWidth="1"/>
    <col min="13520" max="13686" width="9.140625" style="37"/>
    <col min="13687" max="13687" width="3.28515625" style="37" customWidth="1"/>
    <col min="13688" max="13688" width="6.140625" style="37" customWidth="1"/>
    <col min="13689" max="13689" width="20.140625" style="37" customWidth="1"/>
    <col min="13690" max="13690" width="35.42578125" style="37" customWidth="1"/>
    <col min="13691" max="13691" width="9.85546875" style="37" customWidth="1"/>
    <col min="13692" max="13692" width="9.5703125" style="37" customWidth="1"/>
    <col min="13693" max="13693" width="9.28515625" style="37" customWidth="1"/>
    <col min="13694" max="13694" width="10.28515625" style="37" customWidth="1"/>
    <col min="13695" max="13696" width="8.7109375" style="37" customWidth="1"/>
    <col min="13697" max="13700" width="9.85546875" style="37" customWidth="1"/>
    <col min="13701" max="13701" width="14.42578125" style="37" customWidth="1"/>
    <col min="13702" max="13702" width="12.140625" style="37" customWidth="1"/>
    <col min="13703" max="13703" width="4.28515625" style="37" customWidth="1"/>
    <col min="13704" max="13704" width="11" style="37" customWidth="1"/>
    <col min="13705" max="13709" width="9.28515625" style="37" customWidth="1"/>
    <col min="13710" max="13710" width="4.28515625" style="37" customWidth="1"/>
    <col min="13711" max="13717" width="8.7109375" style="37" customWidth="1"/>
    <col min="13718" max="13718" width="6.28515625" style="37" customWidth="1"/>
    <col min="13719" max="13726" width="8.7109375" style="37" customWidth="1"/>
    <col min="13727" max="13727" width="6.28515625" style="37" customWidth="1"/>
    <col min="13728" max="13775" width="8.7109375" style="37" customWidth="1"/>
    <col min="13776" max="13942" width="9.140625" style="37"/>
    <col min="13943" max="13943" width="3.28515625" style="37" customWidth="1"/>
    <col min="13944" max="13944" width="6.140625" style="37" customWidth="1"/>
    <col min="13945" max="13945" width="20.140625" style="37" customWidth="1"/>
    <col min="13946" max="13946" width="35.42578125" style="37" customWidth="1"/>
    <col min="13947" max="13947" width="9.85546875" style="37" customWidth="1"/>
    <col min="13948" max="13948" width="9.5703125" style="37" customWidth="1"/>
    <col min="13949" max="13949" width="9.28515625" style="37" customWidth="1"/>
    <col min="13950" max="13950" width="10.28515625" style="37" customWidth="1"/>
    <col min="13951" max="13952" width="8.7109375" style="37" customWidth="1"/>
    <col min="13953" max="13956" width="9.85546875" style="37" customWidth="1"/>
    <col min="13957" max="13957" width="14.42578125" style="37" customWidth="1"/>
    <col min="13958" max="13958" width="12.140625" style="37" customWidth="1"/>
    <col min="13959" max="13959" width="4.28515625" style="37" customWidth="1"/>
    <col min="13960" max="13960" width="11" style="37" customWidth="1"/>
    <col min="13961" max="13965" width="9.28515625" style="37" customWidth="1"/>
    <col min="13966" max="13966" width="4.28515625" style="37" customWidth="1"/>
    <col min="13967" max="13973" width="8.7109375" style="37" customWidth="1"/>
    <col min="13974" max="13974" width="6.28515625" style="37" customWidth="1"/>
    <col min="13975" max="13982" width="8.7109375" style="37" customWidth="1"/>
    <col min="13983" max="13983" width="6.28515625" style="37" customWidth="1"/>
    <col min="13984" max="14031" width="8.7109375" style="37" customWidth="1"/>
    <col min="14032" max="14198" width="9.140625" style="37"/>
    <col min="14199" max="14199" width="3.28515625" style="37" customWidth="1"/>
    <col min="14200" max="14200" width="6.140625" style="37" customWidth="1"/>
    <col min="14201" max="14201" width="20.140625" style="37" customWidth="1"/>
    <col min="14202" max="14202" width="35.42578125" style="37" customWidth="1"/>
    <col min="14203" max="14203" width="9.85546875" style="37" customWidth="1"/>
    <col min="14204" max="14204" width="9.5703125" style="37" customWidth="1"/>
    <col min="14205" max="14205" width="9.28515625" style="37" customWidth="1"/>
    <col min="14206" max="14206" width="10.28515625" style="37" customWidth="1"/>
    <col min="14207" max="14208" width="8.7109375" style="37" customWidth="1"/>
    <col min="14209" max="14212" width="9.85546875" style="37" customWidth="1"/>
    <col min="14213" max="14213" width="14.42578125" style="37" customWidth="1"/>
    <col min="14214" max="14214" width="12.140625" style="37" customWidth="1"/>
    <col min="14215" max="14215" width="4.28515625" style="37" customWidth="1"/>
    <col min="14216" max="14216" width="11" style="37" customWidth="1"/>
    <col min="14217" max="14221" width="9.28515625" style="37" customWidth="1"/>
    <col min="14222" max="14222" width="4.28515625" style="37" customWidth="1"/>
    <col min="14223" max="14229" width="8.7109375" style="37" customWidth="1"/>
    <col min="14230" max="14230" width="6.28515625" style="37" customWidth="1"/>
    <col min="14231" max="14238" width="8.7109375" style="37" customWidth="1"/>
    <col min="14239" max="14239" width="6.28515625" style="37" customWidth="1"/>
    <col min="14240" max="14287" width="8.7109375" style="37" customWidth="1"/>
    <col min="14288" max="14454" width="9.140625" style="37"/>
    <col min="14455" max="14455" width="3.28515625" style="37" customWidth="1"/>
    <col min="14456" max="14456" width="6.140625" style="37" customWidth="1"/>
    <col min="14457" max="14457" width="20.140625" style="37" customWidth="1"/>
    <col min="14458" max="14458" width="35.42578125" style="37" customWidth="1"/>
    <col min="14459" max="14459" width="9.85546875" style="37" customWidth="1"/>
    <col min="14460" max="14460" width="9.5703125" style="37" customWidth="1"/>
    <col min="14461" max="14461" width="9.28515625" style="37" customWidth="1"/>
    <col min="14462" max="14462" width="10.28515625" style="37" customWidth="1"/>
    <col min="14463" max="14464" width="8.7109375" style="37" customWidth="1"/>
    <col min="14465" max="14468" width="9.85546875" style="37" customWidth="1"/>
    <col min="14469" max="14469" width="14.42578125" style="37" customWidth="1"/>
    <col min="14470" max="14470" width="12.140625" style="37" customWidth="1"/>
    <col min="14471" max="14471" width="4.28515625" style="37" customWidth="1"/>
    <col min="14472" max="14472" width="11" style="37" customWidth="1"/>
    <col min="14473" max="14477" width="9.28515625" style="37" customWidth="1"/>
    <col min="14478" max="14478" width="4.28515625" style="37" customWidth="1"/>
    <col min="14479" max="14485" width="8.7109375" style="37" customWidth="1"/>
    <col min="14486" max="14486" width="6.28515625" style="37" customWidth="1"/>
    <col min="14487" max="14494" width="8.7109375" style="37" customWidth="1"/>
    <col min="14495" max="14495" width="6.28515625" style="37" customWidth="1"/>
    <col min="14496" max="14543" width="8.7109375" style="37" customWidth="1"/>
    <col min="14544" max="14710" width="9.140625" style="37"/>
    <col min="14711" max="14711" width="3.28515625" style="37" customWidth="1"/>
    <col min="14712" max="14712" width="6.140625" style="37" customWidth="1"/>
    <col min="14713" max="14713" width="20.140625" style="37" customWidth="1"/>
    <col min="14714" max="14714" width="35.42578125" style="37" customWidth="1"/>
    <col min="14715" max="14715" width="9.85546875" style="37" customWidth="1"/>
    <col min="14716" max="14716" width="9.5703125" style="37" customWidth="1"/>
    <col min="14717" max="14717" width="9.28515625" style="37" customWidth="1"/>
    <col min="14718" max="14718" width="10.28515625" style="37" customWidth="1"/>
    <col min="14719" max="14720" width="8.7109375" style="37" customWidth="1"/>
    <col min="14721" max="14724" width="9.85546875" style="37" customWidth="1"/>
    <col min="14725" max="14725" width="14.42578125" style="37" customWidth="1"/>
    <col min="14726" max="14726" width="12.140625" style="37" customWidth="1"/>
    <col min="14727" max="14727" width="4.28515625" style="37" customWidth="1"/>
    <col min="14728" max="14728" width="11" style="37" customWidth="1"/>
    <col min="14729" max="14733" width="9.28515625" style="37" customWidth="1"/>
    <col min="14734" max="14734" width="4.28515625" style="37" customWidth="1"/>
    <col min="14735" max="14741" width="8.7109375" style="37" customWidth="1"/>
    <col min="14742" max="14742" width="6.28515625" style="37" customWidth="1"/>
    <col min="14743" max="14750" width="8.7109375" style="37" customWidth="1"/>
    <col min="14751" max="14751" width="6.28515625" style="37" customWidth="1"/>
    <col min="14752" max="14799" width="8.7109375" style="37" customWidth="1"/>
    <col min="14800" max="14966" width="9.140625" style="37"/>
    <col min="14967" max="14967" width="3.28515625" style="37" customWidth="1"/>
    <col min="14968" max="14968" width="6.140625" style="37" customWidth="1"/>
    <col min="14969" max="14969" width="20.140625" style="37" customWidth="1"/>
    <col min="14970" max="14970" width="35.42578125" style="37" customWidth="1"/>
    <col min="14971" max="14971" width="9.85546875" style="37" customWidth="1"/>
    <col min="14972" max="14972" width="9.5703125" style="37" customWidth="1"/>
    <col min="14973" max="14973" width="9.28515625" style="37" customWidth="1"/>
    <col min="14974" max="14974" width="10.28515625" style="37" customWidth="1"/>
    <col min="14975" max="14976" width="8.7109375" style="37" customWidth="1"/>
    <col min="14977" max="14980" width="9.85546875" style="37" customWidth="1"/>
    <col min="14981" max="14981" width="14.42578125" style="37" customWidth="1"/>
    <col min="14982" max="14982" width="12.140625" style="37" customWidth="1"/>
    <col min="14983" max="14983" width="4.28515625" style="37" customWidth="1"/>
    <col min="14984" max="14984" width="11" style="37" customWidth="1"/>
    <col min="14985" max="14989" width="9.28515625" style="37" customWidth="1"/>
    <col min="14990" max="14990" width="4.28515625" style="37" customWidth="1"/>
    <col min="14991" max="14997" width="8.7109375" style="37" customWidth="1"/>
    <col min="14998" max="14998" width="6.28515625" style="37" customWidth="1"/>
    <col min="14999" max="15006" width="8.7109375" style="37" customWidth="1"/>
    <col min="15007" max="15007" width="6.28515625" style="37" customWidth="1"/>
    <col min="15008" max="15055" width="8.7109375" style="37" customWidth="1"/>
    <col min="15056" max="15222" width="9.140625" style="37"/>
    <col min="15223" max="15223" width="3.28515625" style="37" customWidth="1"/>
    <col min="15224" max="15224" width="6.140625" style="37" customWidth="1"/>
    <col min="15225" max="15225" width="20.140625" style="37" customWidth="1"/>
    <col min="15226" max="15226" width="35.42578125" style="37" customWidth="1"/>
    <col min="15227" max="15227" width="9.85546875" style="37" customWidth="1"/>
    <col min="15228" max="15228" width="9.5703125" style="37" customWidth="1"/>
    <col min="15229" max="15229" width="9.28515625" style="37" customWidth="1"/>
    <col min="15230" max="15230" width="10.28515625" style="37" customWidth="1"/>
    <col min="15231" max="15232" width="8.7109375" style="37" customWidth="1"/>
    <col min="15233" max="15236" width="9.85546875" style="37" customWidth="1"/>
    <col min="15237" max="15237" width="14.42578125" style="37" customWidth="1"/>
    <col min="15238" max="15238" width="12.140625" style="37" customWidth="1"/>
    <col min="15239" max="15239" width="4.28515625" style="37" customWidth="1"/>
    <col min="15240" max="15240" width="11" style="37" customWidth="1"/>
    <col min="15241" max="15245" width="9.28515625" style="37" customWidth="1"/>
    <col min="15246" max="15246" width="4.28515625" style="37" customWidth="1"/>
    <col min="15247" max="15253" width="8.7109375" style="37" customWidth="1"/>
    <col min="15254" max="15254" width="6.28515625" style="37" customWidth="1"/>
    <col min="15255" max="15262" width="8.7109375" style="37" customWidth="1"/>
    <col min="15263" max="15263" width="6.28515625" style="37" customWidth="1"/>
    <col min="15264" max="15311" width="8.7109375" style="37" customWidth="1"/>
    <col min="15312" max="15478" width="9.140625" style="37"/>
    <col min="15479" max="15479" width="3.28515625" style="37" customWidth="1"/>
    <col min="15480" max="15480" width="6.140625" style="37" customWidth="1"/>
    <col min="15481" max="15481" width="20.140625" style="37" customWidth="1"/>
    <col min="15482" max="15482" width="35.42578125" style="37" customWidth="1"/>
    <col min="15483" max="15483" width="9.85546875" style="37" customWidth="1"/>
    <col min="15484" max="15484" width="9.5703125" style="37" customWidth="1"/>
    <col min="15485" max="15485" width="9.28515625" style="37" customWidth="1"/>
    <col min="15486" max="15486" width="10.28515625" style="37" customWidth="1"/>
    <col min="15487" max="15488" width="8.7109375" style="37" customWidth="1"/>
    <col min="15489" max="15492" width="9.85546875" style="37" customWidth="1"/>
    <col min="15493" max="15493" width="14.42578125" style="37" customWidth="1"/>
    <col min="15494" max="15494" width="12.140625" style="37" customWidth="1"/>
    <col min="15495" max="15495" width="4.28515625" style="37" customWidth="1"/>
    <col min="15496" max="15496" width="11" style="37" customWidth="1"/>
    <col min="15497" max="15501" width="9.28515625" style="37" customWidth="1"/>
    <col min="15502" max="15502" width="4.28515625" style="37" customWidth="1"/>
    <col min="15503" max="15509" width="8.7109375" style="37" customWidth="1"/>
    <col min="15510" max="15510" width="6.28515625" style="37" customWidth="1"/>
    <col min="15511" max="15518" width="8.7109375" style="37" customWidth="1"/>
    <col min="15519" max="15519" width="6.28515625" style="37" customWidth="1"/>
    <col min="15520" max="15567" width="8.7109375" style="37" customWidth="1"/>
    <col min="15568" max="15734" width="9.140625" style="37"/>
    <col min="15735" max="15735" width="3.28515625" style="37" customWidth="1"/>
    <col min="15736" max="15736" width="6.140625" style="37" customWidth="1"/>
    <col min="15737" max="15737" width="20.140625" style="37" customWidth="1"/>
    <col min="15738" max="15738" width="35.42578125" style="37" customWidth="1"/>
    <col min="15739" max="15739" width="9.85546875" style="37" customWidth="1"/>
    <col min="15740" max="15740" width="9.5703125" style="37" customWidth="1"/>
    <col min="15741" max="15741" width="9.28515625" style="37" customWidth="1"/>
    <col min="15742" max="15742" width="10.28515625" style="37" customWidth="1"/>
    <col min="15743" max="15744" width="8.7109375" style="37" customWidth="1"/>
    <col min="15745" max="15748" width="9.85546875" style="37" customWidth="1"/>
    <col min="15749" max="15749" width="14.42578125" style="37" customWidth="1"/>
    <col min="15750" max="15750" width="12.140625" style="37" customWidth="1"/>
    <col min="15751" max="15751" width="4.28515625" style="37" customWidth="1"/>
    <col min="15752" max="15752" width="11" style="37" customWidth="1"/>
    <col min="15753" max="15757" width="9.28515625" style="37" customWidth="1"/>
    <col min="15758" max="15758" width="4.28515625" style="37" customWidth="1"/>
    <col min="15759" max="15765" width="8.7109375" style="37" customWidth="1"/>
    <col min="15766" max="15766" width="6.28515625" style="37" customWidth="1"/>
    <col min="15767" max="15774" width="8.7109375" style="37" customWidth="1"/>
    <col min="15775" max="15775" width="6.28515625" style="37" customWidth="1"/>
    <col min="15776" max="15823" width="8.7109375" style="37" customWidth="1"/>
    <col min="15824" max="15990" width="9.140625" style="37"/>
    <col min="15991" max="15991" width="3.28515625" style="37" customWidth="1"/>
    <col min="15992" max="15992" width="6.140625" style="37" customWidth="1"/>
    <col min="15993" max="15993" width="20.140625" style="37" customWidth="1"/>
    <col min="15994" max="15994" width="35.42578125" style="37" customWidth="1"/>
    <col min="15995" max="15995" width="9.85546875" style="37" customWidth="1"/>
    <col min="15996" max="15996" width="9.5703125" style="37" customWidth="1"/>
    <col min="15997" max="15997" width="9.28515625" style="37" customWidth="1"/>
    <col min="15998" max="15998" width="10.28515625" style="37" customWidth="1"/>
    <col min="15999" max="16000" width="8.7109375" style="37" customWidth="1"/>
    <col min="16001" max="16004" width="9.85546875" style="37" customWidth="1"/>
    <col min="16005" max="16005" width="14.42578125" style="37" customWidth="1"/>
    <col min="16006" max="16006" width="12.140625" style="37" customWidth="1"/>
    <col min="16007" max="16007" width="4.28515625" style="37" customWidth="1"/>
    <col min="16008" max="16008" width="11" style="37" customWidth="1"/>
    <col min="16009" max="16013" width="9.28515625" style="37" customWidth="1"/>
    <col min="16014" max="16014" width="4.28515625" style="37" customWidth="1"/>
    <col min="16015" max="16021" width="8.7109375" style="37" customWidth="1"/>
    <col min="16022" max="16022" width="6.28515625" style="37" customWidth="1"/>
    <col min="16023" max="16030" width="8.7109375" style="37" customWidth="1"/>
    <col min="16031" max="16031" width="6.28515625" style="37" customWidth="1"/>
    <col min="16032" max="16079" width="8.7109375" style="37" customWidth="1"/>
    <col min="16080" max="16268" width="9.140625" style="37"/>
    <col min="16269" max="16383" width="9.140625" style="37" customWidth="1"/>
    <col min="16384" max="16384" width="9.140625" style="37"/>
  </cols>
  <sheetData>
    <row r="1" spans="1:27" s="433" customFormat="1" ht="55.5" customHeight="1" x14ac:dyDescent="0.25">
      <c r="A1" s="1759" t="s">
        <v>507</v>
      </c>
      <c r="B1" s="1759"/>
      <c r="C1" s="1759"/>
      <c r="D1" s="1757"/>
      <c r="E1" s="1087"/>
      <c r="F1" s="1754" t="s">
        <v>508</v>
      </c>
      <c r="G1" s="1754"/>
      <c r="H1" s="1754"/>
      <c r="I1" s="1754"/>
      <c r="J1" s="1754"/>
      <c r="K1" s="1754"/>
      <c r="L1" s="1754"/>
      <c r="M1" s="1754"/>
      <c r="N1" s="1754"/>
      <c r="O1" s="1754"/>
      <c r="P1" s="1755"/>
      <c r="Q1" s="940"/>
      <c r="R1" s="1756" t="s">
        <v>512</v>
      </c>
      <c r="S1" s="1757"/>
      <c r="T1" s="1758"/>
      <c r="U1" s="940"/>
      <c r="V1" s="1756" t="s">
        <v>513</v>
      </c>
      <c r="W1" s="1757"/>
      <c r="X1" s="1757"/>
      <c r="Y1" s="1758"/>
      <c r="Z1" s="431"/>
      <c r="AA1" s="432"/>
    </row>
    <row r="2" spans="1:27" s="36" customFormat="1" ht="129.94999999999999" customHeight="1" x14ac:dyDescent="0.25">
      <c r="A2" s="1008" t="s">
        <v>88</v>
      </c>
      <c r="B2" s="591"/>
      <c r="C2" s="412" t="s">
        <v>89</v>
      </c>
      <c r="D2" s="412" t="s">
        <v>90</v>
      </c>
      <c r="E2" s="1016" t="s">
        <v>377</v>
      </c>
      <c r="F2" s="1070" t="s">
        <v>954</v>
      </c>
      <c r="G2" s="1071" t="s">
        <v>955</v>
      </c>
      <c r="H2" s="1071" t="s">
        <v>956</v>
      </c>
      <c r="I2" s="1071" t="s">
        <v>957</v>
      </c>
      <c r="J2" s="409" t="s">
        <v>1056</v>
      </c>
      <c r="K2" s="409" t="s">
        <v>380</v>
      </c>
      <c r="L2" s="409" t="s">
        <v>448</v>
      </c>
      <c r="M2" s="409" t="s">
        <v>451</v>
      </c>
      <c r="N2" s="409" t="s">
        <v>267</v>
      </c>
      <c r="O2" s="409" t="s">
        <v>817</v>
      </c>
      <c r="P2" s="410"/>
      <c r="Q2" s="940"/>
      <c r="R2" s="410" t="s">
        <v>87</v>
      </c>
      <c r="S2" s="410" t="s">
        <v>511</v>
      </c>
      <c r="T2" s="410"/>
      <c r="U2" s="940"/>
      <c r="V2" s="410" t="s">
        <v>509</v>
      </c>
      <c r="W2" s="410" t="s">
        <v>510</v>
      </c>
      <c r="X2" s="411" t="s">
        <v>384</v>
      </c>
      <c r="Y2" s="410"/>
      <c r="Z2" s="1009"/>
      <c r="AA2" s="32"/>
    </row>
    <row r="3" spans="1:27" s="39" customFormat="1" ht="17.25" customHeight="1" x14ac:dyDescent="0.25">
      <c r="A3" s="41">
        <v>1</v>
      </c>
      <c r="B3" s="592" t="s">
        <v>91</v>
      </c>
      <c r="C3" s="49" t="s">
        <v>436</v>
      </c>
      <c r="D3" s="418" t="s">
        <v>450</v>
      </c>
      <c r="E3" s="1017">
        <f>SUM(F3:AA3)</f>
        <v>12637.741414601567</v>
      </c>
      <c r="F3" s="466"/>
      <c r="G3" s="467"/>
      <c r="H3" s="468"/>
      <c r="I3" s="468"/>
      <c r="J3" s="469"/>
      <c r="K3" s="467"/>
      <c r="M3" s="466"/>
      <c r="N3" s="467">
        <f>+'Lijst maatregelen EA'!F3</f>
        <v>12637.741414601567</v>
      </c>
      <c r="O3" s="466"/>
      <c r="P3" s="462"/>
      <c r="Q3" s="940"/>
      <c r="R3" s="467"/>
      <c r="S3" s="467"/>
      <c r="T3" s="467"/>
      <c r="U3" s="940"/>
      <c r="V3" s="467"/>
      <c r="W3" s="467"/>
      <c r="X3" s="467"/>
      <c r="Y3" s="467"/>
      <c r="Z3" s="38"/>
      <c r="AA3" s="33"/>
    </row>
    <row r="4" spans="1:27" s="39" customFormat="1" ht="17.25" customHeight="1" x14ac:dyDescent="0.25">
      <c r="A4" s="41"/>
      <c r="B4" s="592"/>
      <c r="C4" s="49"/>
      <c r="D4" s="418" t="s">
        <v>449</v>
      </c>
      <c r="E4" s="1017">
        <f t="shared" ref="E4:E23" si="0">SUM(F4:AA4)</f>
        <v>2700</v>
      </c>
      <c r="F4" s="466"/>
      <c r="G4" s="467"/>
      <c r="H4" s="468"/>
      <c r="I4" s="468"/>
      <c r="J4" s="469"/>
      <c r="K4" s="467"/>
      <c r="L4" s="467">
        <f>+'Lijst maatregelen EA'!F88</f>
        <v>2700</v>
      </c>
      <c r="M4" s="466"/>
      <c r="N4" s="467"/>
      <c r="O4" s="466"/>
      <c r="P4" s="462"/>
      <c r="Q4" s="940"/>
      <c r="R4" s="467"/>
      <c r="S4" s="467"/>
      <c r="T4" s="467"/>
      <c r="U4" s="940"/>
      <c r="V4" s="467"/>
      <c r="W4" s="467"/>
      <c r="X4" s="467"/>
      <c r="Y4" s="467"/>
      <c r="Z4" s="38"/>
      <c r="AA4" s="33"/>
    </row>
    <row r="5" spans="1:27" s="39" customFormat="1" ht="15" customHeight="1" x14ac:dyDescent="0.25">
      <c r="B5" s="51"/>
      <c r="C5" s="413" t="s">
        <v>92</v>
      </c>
      <c r="D5" s="413" t="s">
        <v>93</v>
      </c>
      <c r="E5" s="1017">
        <f t="shared" si="0"/>
        <v>0</v>
      </c>
      <c r="F5" s="466"/>
      <c r="G5" s="467"/>
      <c r="H5" s="468"/>
      <c r="I5" s="468"/>
      <c r="J5" s="469"/>
      <c r="K5" s="467"/>
      <c r="L5" s="466"/>
      <c r="M5" s="466"/>
      <c r="N5" s="466"/>
      <c r="O5" s="466"/>
      <c r="P5" s="462"/>
      <c r="Q5" s="940"/>
      <c r="R5" s="467"/>
      <c r="S5" s="467"/>
      <c r="T5" s="467"/>
      <c r="U5" s="940"/>
      <c r="V5" s="470"/>
      <c r="W5" s="470"/>
      <c r="X5" s="470"/>
      <c r="Y5" s="470"/>
      <c r="Z5" s="40"/>
      <c r="AA5" s="31"/>
    </row>
    <row r="6" spans="1:27" s="39" customFormat="1" ht="15" customHeight="1" x14ac:dyDescent="0.25">
      <c r="B6" s="51"/>
      <c r="C6" s="413"/>
      <c r="D6" s="413" t="s">
        <v>94</v>
      </c>
      <c r="E6" s="1017">
        <f t="shared" si="0"/>
        <v>0</v>
      </c>
      <c r="F6" s="466"/>
      <c r="G6" s="467"/>
      <c r="H6" s="468"/>
      <c r="I6" s="468"/>
      <c r="J6" s="469"/>
      <c r="K6" s="467"/>
      <c r="L6" s="466"/>
      <c r="M6" s="466"/>
      <c r="N6" s="466"/>
      <c r="O6" s="466"/>
      <c r="P6" s="462"/>
      <c r="Q6" s="940"/>
      <c r="R6" s="467"/>
      <c r="S6" s="467"/>
      <c r="T6" s="467"/>
      <c r="U6" s="940"/>
      <c r="V6" s="470"/>
      <c r="W6" s="470"/>
      <c r="X6" s="470"/>
      <c r="Y6" s="470"/>
      <c r="Z6" s="40"/>
      <c r="AA6" s="33"/>
    </row>
    <row r="7" spans="1:27" s="39" customFormat="1" ht="15" customHeight="1" x14ac:dyDescent="0.25">
      <c r="A7" s="41"/>
      <c r="B7" s="592"/>
      <c r="C7" s="413" t="s">
        <v>95</v>
      </c>
      <c r="D7" s="413" t="s">
        <v>93</v>
      </c>
      <c r="E7" s="1017">
        <f t="shared" si="0"/>
        <v>185</v>
      </c>
      <c r="F7" s="466"/>
      <c r="G7" s="467"/>
      <c r="H7" s="468"/>
      <c r="I7" s="468"/>
      <c r="J7" s="467">
        <f>+'Lijst maatregelen EA'!D24/2*Uitgangspunten!B56</f>
        <v>35</v>
      </c>
      <c r="K7" s="467"/>
      <c r="L7" s="467"/>
      <c r="M7" s="467">
        <f>+'Lijst maatregelen EA'!D5*Uitgangspunten!B56</f>
        <v>150</v>
      </c>
      <c r="N7" s="462"/>
      <c r="O7" s="467"/>
      <c r="P7" s="462"/>
      <c r="Q7" s="940"/>
      <c r="R7" s="467"/>
      <c r="S7" s="467"/>
      <c r="T7" s="467"/>
      <c r="U7" s="940"/>
      <c r="V7" s="470"/>
      <c r="W7" s="470"/>
      <c r="X7" s="470"/>
      <c r="Y7" s="470"/>
      <c r="Z7" s="40"/>
      <c r="AA7" s="31"/>
    </row>
    <row r="8" spans="1:27" s="39" customFormat="1" ht="15" customHeight="1" x14ac:dyDescent="0.25">
      <c r="A8" s="41"/>
      <c r="B8" s="592"/>
      <c r="C8" s="413"/>
      <c r="D8" s="413" t="s">
        <v>96</v>
      </c>
      <c r="E8" s="1017">
        <f t="shared" si="0"/>
        <v>0</v>
      </c>
      <c r="F8" s="466"/>
      <c r="G8" s="467"/>
      <c r="H8" s="468"/>
      <c r="I8" s="468"/>
      <c r="J8" s="469"/>
      <c r="K8" s="467"/>
      <c r="L8" s="462"/>
      <c r="M8" s="467"/>
      <c r="N8" s="467"/>
      <c r="O8" s="467"/>
      <c r="P8" s="462"/>
      <c r="Q8" s="940"/>
      <c r="R8" s="467"/>
      <c r="S8" s="467"/>
      <c r="T8" s="467"/>
      <c r="U8" s="940"/>
      <c r="V8" s="470"/>
      <c r="W8" s="470"/>
      <c r="X8" s="470"/>
      <c r="Y8" s="470"/>
      <c r="Z8" s="40"/>
      <c r="AA8" s="33"/>
    </row>
    <row r="9" spans="1:27" s="39" customFormat="1" ht="15" customHeight="1" x14ac:dyDescent="0.25">
      <c r="A9" s="41"/>
      <c r="B9" s="592"/>
      <c r="C9" s="413"/>
      <c r="D9" s="413" t="s">
        <v>97</v>
      </c>
      <c r="E9" s="1017">
        <f t="shared" si="0"/>
        <v>0</v>
      </c>
      <c r="F9" s="466"/>
      <c r="G9" s="467"/>
      <c r="H9" s="468"/>
      <c r="I9" s="468"/>
      <c r="J9" s="469"/>
      <c r="K9" s="467"/>
      <c r="L9" s="467"/>
      <c r="M9" s="467"/>
      <c r="N9" s="467"/>
      <c r="O9" s="467"/>
      <c r="P9" s="462"/>
      <c r="Q9" s="940"/>
      <c r="R9" s="467"/>
      <c r="S9" s="467"/>
      <c r="T9" s="467"/>
      <c r="U9" s="940"/>
      <c r="V9" s="470"/>
      <c r="W9" s="470"/>
      <c r="X9" s="470"/>
      <c r="Y9" s="470"/>
      <c r="Z9" s="40"/>
      <c r="AA9" s="31"/>
    </row>
    <row r="10" spans="1:27" s="39" customFormat="1" ht="15" customHeight="1" x14ac:dyDescent="0.25">
      <c r="A10" s="41"/>
      <c r="B10" s="592"/>
      <c r="C10" s="413"/>
      <c r="D10" s="413" t="s">
        <v>94</v>
      </c>
      <c r="E10" s="1017">
        <f t="shared" si="0"/>
        <v>0</v>
      </c>
      <c r="F10" s="466"/>
      <c r="G10" s="467"/>
      <c r="H10" s="468"/>
      <c r="I10" s="468"/>
      <c r="J10" s="469"/>
      <c r="K10" s="467"/>
      <c r="L10" s="467"/>
      <c r="M10" s="467"/>
      <c r="N10" s="467"/>
      <c r="O10" s="467"/>
      <c r="P10" s="462"/>
      <c r="Q10" s="940"/>
      <c r="R10" s="467"/>
      <c r="S10" s="467"/>
      <c r="T10" s="467"/>
      <c r="U10" s="940"/>
      <c r="V10" s="470"/>
      <c r="W10" s="470"/>
      <c r="X10" s="470"/>
      <c r="Y10" s="470"/>
      <c r="Z10" s="40"/>
      <c r="AA10" s="33"/>
    </row>
    <row r="11" spans="1:27" s="39" customFormat="1" ht="15" customHeight="1" x14ac:dyDescent="0.25">
      <c r="A11" s="41"/>
      <c r="B11" s="592"/>
      <c r="C11" s="413"/>
      <c r="D11" s="413" t="s">
        <v>98</v>
      </c>
      <c r="E11" s="1017">
        <f t="shared" si="0"/>
        <v>0</v>
      </c>
      <c r="F11" s="466"/>
      <c r="G11" s="467"/>
      <c r="H11" s="468"/>
      <c r="I11" s="468"/>
      <c r="J11" s="469"/>
      <c r="K11" s="467"/>
      <c r="L11" s="467"/>
      <c r="M11" s="467"/>
      <c r="N11" s="467"/>
      <c r="O11" s="467"/>
      <c r="P11" s="462"/>
      <c r="Q11" s="940"/>
      <c r="R11" s="467"/>
      <c r="S11" s="467"/>
      <c r="T11" s="467"/>
      <c r="U11" s="940"/>
      <c r="V11" s="470"/>
      <c r="W11" s="470"/>
      <c r="X11" s="470"/>
      <c r="Y11" s="470"/>
      <c r="Z11" s="40"/>
      <c r="AA11" s="31"/>
    </row>
    <row r="12" spans="1:27" s="39" customFormat="1" ht="15" customHeight="1" x14ac:dyDescent="0.25">
      <c r="A12" s="41"/>
      <c r="B12" s="592"/>
      <c r="C12" s="413" t="s">
        <v>99</v>
      </c>
      <c r="D12" s="413" t="s">
        <v>100</v>
      </c>
      <c r="E12" s="1017">
        <f t="shared" si="0"/>
        <v>0</v>
      </c>
      <c r="F12" s="466"/>
      <c r="G12" s="467"/>
      <c r="H12" s="468"/>
      <c r="I12" s="468"/>
      <c r="J12" s="469"/>
      <c r="K12" s="472"/>
      <c r="L12" s="467"/>
      <c r="M12" s="467"/>
      <c r="N12" s="467"/>
      <c r="O12" s="467"/>
      <c r="P12" s="462"/>
      <c r="Q12" s="940"/>
      <c r="R12" s="462"/>
      <c r="S12" s="467"/>
      <c r="T12" s="467"/>
      <c r="U12" s="940"/>
      <c r="V12" s="470"/>
      <c r="W12" s="470"/>
      <c r="X12" s="470"/>
      <c r="Y12" s="470"/>
      <c r="Z12" s="40"/>
      <c r="AA12" s="33"/>
    </row>
    <row r="13" spans="1:27" s="39" customFormat="1" ht="15" customHeight="1" x14ac:dyDescent="0.25">
      <c r="A13" s="41"/>
      <c r="B13" s="592"/>
      <c r="C13" s="413" t="s">
        <v>101</v>
      </c>
      <c r="D13" s="413" t="s">
        <v>102</v>
      </c>
      <c r="E13" s="1017">
        <f t="shared" si="0"/>
        <v>0</v>
      </c>
      <c r="F13" s="466"/>
      <c r="G13" s="467"/>
      <c r="H13" s="468"/>
      <c r="I13" s="468"/>
      <c r="J13" s="469"/>
      <c r="K13" s="467"/>
      <c r="L13" s="467"/>
      <c r="M13" s="467"/>
      <c r="N13" s="467"/>
      <c r="O13" s="467"/>
      <c r="P13" s="462"/>
      <c r="Q13" s="940"/>
      <c r="R13" s="467"/>
      <c r="S13" s="467"/>
      <c r="T13" s="467"/>
      <c r="U13" s="940"/>
      <c r="V13" s="470"/>
      <c r="W13" s="470"/>
      <c r="X13" s="470"/>
      <c r="Y13" s="470"/>
      <c r="Z13" s="40"/>
      <c r="AA13" s="31"/>
    </row>
    <row r="14" spans="1:27" s="39" customFormat="1" ht="15" customHeight="1" x14ac:dyDescent="0.25">
      <c r="A14" s="41"/>
      <c r="B14" s="592"/>
      <c r="C14" s="413" t="s">
        <v>103</v>
      </c>
      <c r="D14" s="413" t="s">
        <v>102</v>
      </c>
      <c r="E14" s="1017">
        <f t="shared" si="0"/>
        <v>35</v>
      </c>
      <c r="F14" s="466"/>
      <c r="G14" s="467"/>
      <c r="H14" s="468"/>
      <c r="I14" s="468"/>
      <c r="J14" s="467">
        <f>+'Lijst maatregelen EA'!D24/2*Uitgangspunten!B56</f>
        <v>35</v>
      </c>
      <c r="K14" s="467"/>
      <c r="L14" s="466"/>
      <c r="M14" s="467"/>
      <c r="N14" s="467"/>
      <c r="O14" s="467"/>
      <c r="P14" s="462"/>
      <c r="Q14" s="940"/>
      <c r="R14" s="467"/>
      <c r="S14" s="467"/>
      <c r="T14" s="467"/>
      <c r="U14" s="940"/>
      <c r="V14" s="470"/>
      <c r="W14" s="470"/>
      <c r="X14" s="470"/>
      <c r="Y14" s="470"/>
      <c r="Z14" s="40"/>
      <c r="AA14" s="33"/>
    </row>
    <row r="15" spans="1:27" s="39" customFormat="1" ht="15" customHeight="1" x14ac:dyDescent="0.25">
      <c r="A15" s="41"/>
      <c r="B15" s="592"/>
      <c r="C15" s="413"/>
      <c r="D15" s="413" t="s">
        <v>104</v>
      </c>
      <c r="E15" s="1017">
        <f t="shared" si="0"/>
        <v>0</v>
      </c>
      <c r="F15" s="466"/>
      <c r="G15" s="467"/>
      <c r="H15" s="468"/>
      <c r="I15" s="468"/>
      <c r="J15" s="469"/>
      <c r="K15" s="467"/>
      <c r="L15" s="467"/>
      <c r="M15" s="467"/>
      <c r="N15" s="467"/>
      <c r="O15" s="467"/>
      <c r="P15" s="462"/>
      <c r="Q15" s="940"/>
      <c r="R15" s="467"/>
      <c r="S15" s="467"/>
      <c r="T15" s="467"/>
      <c r="U15" s="940"/>
      <c r="V15" s="470"/>
      <c r="W15" s="470"/>
      <c r="X15" s="470"/>
      <c r="Y15" s="470"/>
      <c r="Z15" s="40"/>
      <c r="AA15" s="31"/>
    </row>
    <row r="16" spans="1:27" s="39" customFormat="1" ht="15" customHeight="1" x14ac:dyDescent="0.25">
      <c r="A16" s="41"/>
      <c r="B16" s="592"/>
      <c r="C16" s="413"/>
      <c r="D16" s="413" t="s">
        <v>105</v>
      </c>
      <c r="E16" s="1017">
        <f t="shared" si="0"/>
        <v>0</v>
      </c>
      <c r="F16" s="466"/>
      <c r="G16" s="467"/>
      <c r="H16" s="468"/>
      <c r="I16" s="468"/>
      <c r="J16" s="469"/>
      <c r="K16" s="467"/>
      <c r="L16" s="467"/>
      <c r="M16" s="467"/>
      <c r="N16" s="467"/>
      <c r="O16" s="467"/>
      <c r="P16" s="462"/>
      <c r="Q16" s="940"/>
      <c r="R16" s="467"/>
      <c r="S16" s="467"/>
      <c r="T16" s="467"/>
      <c r="U16" s="940"/>
      <c r="V16" s="470"/>
      <c r="W16" s="470"/>
      <c r="X16" s="470"/>
      <c r="Y16" s="470"/>
      <c r="Z16" s="40"/>
      <c r="AA16" s="33"/>
    </row>
    <row r="17" spans="1:27" s="39" customFormat="1" ht="15" customHeight="1" x14ac:dyDescent="0.25">
      <c r="A17" s="41"/>
      <c r="B17" s="592"/>
      <c r="C17" s="413"/>
      <c r="D17" s="413" t="s">
        <v>106</v>
      </c>
      <c r="E17" s="1017">
        <f t="shared" si="0"/>
        <v>0</v>
      </c>
      <c r="F17" s="466"/>
      <c r="G17" s="467"/>
      <c r="H17" s="468"/>
      <c r="I17" s="468"/>
      <c r="J17" s="469"/>
      <c r="K17" s="471"/>
      <c r="L17" s="467"/>
      <c r="M17" s="467"/>
      <c r="N17" s="467"/>
      <c r="O17" s="467"/>
      <c r="P17" s="462"/>
      <c r="Q17" s="940"/>
      <c r="R17" s="467"/>
      <c r="S17" s="467"/>
      <c r="T17" s="467"/>
      <c r="U17" s="940"/>
      <c r="V17" s="470"/>
      <c r="W17" s="470"/>
      <c r="X17" s="470"/>
      <c r="Y17" s="470"/>
      <c r="Z17" s="40"/>
      <c r="AA17" s="31"/>
    </row>
    <row r="18" spans="1:27" s="39" customFormat="1" ht="15" customHeight="1" x14ac:dyDescent="0.25">
      <c r="A18" s="41"/>
      <c r="B18" s="592"/>
      <c r="C18" s="413"/>
      <c r="D18" s="413" t="s">
        <v>241</v>
      </c>
      <c r="E18" s="1017">
        <f t="shared" si="0"/>
        <v>10.226000000000001</v>
      </c>
      <c r="F18" s="466"/>
      <c r="G18" s="467"/>
      <c r="H18" s="468"/>
      <c r="I18" s="468"/>
      <c r="J18" s="469"/>
      <c r="K18" s="473">
        <f>+'Lijst maatregelen EA'!D19*Uitgangspunten!B56</f>
        <v>10.226000000000001</v>
      </c>
      <c r="L18" s="467"/>
      <c r="M18" s="467"/>
      <c r="N18" s="467"/>
      <c r="O18" s="467"/>
      <c r="P18" s="462"/>
      <c r="Q18" s="940"/>
      <c r="R18" s="467"/>
      <c r="S18" s="462"/>
      <c r="T18" s="462"/>
      <c r="U18" s="940"/>
      <c r="V18" s="470"/>
      <c r="W18" s="470"/>
      <c r="X18" s="470"/>
      <c r="Y18" s="470"/>
      <c r="Z18" s="40"/>
      <c r="AA18" s="33"/>
    </row>
    <row r="19" spans="1:27" s="39" customFormat="1" ht="15" customHeight="1" x14ac:dyDescent="0.25">
      <c r="A19" s="41"/>
      <c r="B19" s="592"/>
      <c r="C19" s="413" t="s">
        <v>107</v>
      </c>
      <c r="D19" s="413" t="s">
        <v>108</v>
      </c>
      <c r="E19" s="1017">
        <f t="shared" si="0"/>
        <v>0</v>
      </c>
      <c r="F19" s="466"/>
      <c r="G19" s="467"/>
      <c r="H19" s="468"/>
      <c r="I19" s="468"/>
      <c r="J19" s="469"/>
      <c r="K19" s="471"/>
      <c r="L19" s="467"/>
      <c r="M19" s="467"/>
      <c r="N19" s="467"/>
      <c r="O19" s="467"/>
      <c r="P19" s="462"/>
      <c r="Q19" s="940"/>
      <c r="R19" s="467"/>
      <c r="S19" s="467"/>
      <c r="T19" s="467"/>
      <c r="U19" s="940"/>
      <c r="V19" s="470"/>
      <c r="W19" s="470"/>
      <c r="X19" s="470"/>
      <c r="Y19" s="470"/>
      <c r="Z19" s="40"/>
      <c r="AA19" s="31"/>
    </row>
    <row r="20" spans="1:27" s="39" customFormat="1" ht="15" customHeight="1" x14ac:dyDescent="0.25">
      <c r="A20" s="41"/>
      <c r="B20" s="592"/>
      <c r="C20" s="413"/>
      <c r="D20" s="413" t="s">
        <v>109</v>
      </c>
      <c r="E20" s="1017">
        <f t="shared" si="0"/>
        <v>0</v>
      </c>
      <c r="F20" s="466"/>
      <c r="G20" s="467"/>
      <c r="H20" s="468"/>
      <c r="I20" s="468"/>
      <c r="J20" s="469"/>
      <c r="K20" s="471"/>
      <c r="L20" s="467"/>
      <c r="M20" s="467"/>
      <c r="N20" s="467"/>
      <c r="O20" s="467"/>
      <c r="P20" s="462"/>
      <c r="Q20" s="940"/>
      <c r="R20" s="467"/>
      <c r="S20" s="467"/>
      <c r="T20" s="467"/>
      <c r="U20" s="940"/>
      <c r="V20" s="470"/>
      <c r="W20" s="470"/>
      <c r="X20" s="470"/>
      <c r="Y20" s="470"/>
      <c r="Z20" s="40"/>
      <c r="AA20" s="33"/>
    </row>
    <row r="21" spans="1:27" s="39" customFormat="1" ht="15" customHeight="1" x14ac:dyDescent="0.25">
      <c r="A21" s="41"/>
      <c r="B21" s="592"/>
      <c r="C21" s="413"/>
      <c r="D21" s="413" t="s">
        <v>110</v>
      </c>
      <c r="E21" s="1017">
        <f t="shared" si="0"/>
        <v>0</v>
      </c>
      <c r="F21" s="466"/>
      <c r="G21" s="467"/>
      <c r="H21" s="468"/>
      <c r="I21" s="468"/>
      <c r="J21" s="469"/>
      <c r="K21" s="471"/>
      <c r="L21" s="467"/>
      <c r="M21" s="467"/>
      <c r="N21" s="467"/>
      <c r="O21" s="467"/>
      <c r="P21" s="462"/>
      <c r="Q21" s="940"/>
      <c r="R21" s="467"/>
      <c r="S21" s="467"/>
      <c r="T21" s="467"/>
      <c r="U21" s="940"/>
      <c r="V21" s="470"/>
      <c r="W21" s="470"/>
      <c r="X21" s="470"/>
      <c r="Y21" s="470"/>
      <c r="Z21" s="40"/>
      <c r="AA21" s="31"/>
    </row>
    <row r="22" spans="1:27" s="39" customFormat="1" ht="15" customHeight="1" x14ac:dyDescent="0.25">
      <c r="A22" s="41"/>
      <c r="B22" s="592"/>
      <c r="C22" s="413"/>
      <c r="D22" s="413" t="s">
        <v>148</v>
      </c>
      <c r="E22" s="1017">
        <f t="shared" si="0"/>
        <v>0</v>
      </c>
      <c r="F22" s="466"/>
      <c r="G22" s="467"/>
      <c r="H22" s="468"/>
      <c r="I22" s="468"/>
      <c r="J22" s="469"/>
      <c r="K22" s="471"/>
      <c r="L22" s="467"/>
      <c r="M22" s="467"/>
      <c r="N22" s="467"/>
      <c r="O22" s="467"/>
      <c r="P22" s="462"/>
      <c r="Q22" s="940"/>
      <c r="R22" s="467"/>
      <c r="S22" s="467"/>
      <c r="T22" s="467"/>
      <c r="U22" s="940"/>
      <c r="V22" s="470"/>
      <c r="W22" s="470"/>
      <c r="X22" s="470"/>
      <c r="Y22" s="470"/>
      <c r="Z22" s="40"/>
      <c r="AA22" s="33"/>
    </row>
    <row r="23" spans="1:27" s="44" customFormat="1" ht="15" customHeight="1" x14ac:dyDescent="0.25">
      <c r="A23" s="43"/>
      <c r="B23" s="593"/>
      <c r="E23" s="1017">
        <f t="shared" si="0"/>
        <v>0</v>
      </c>
      <c r="F23" s="474"/>
      <c r="G23" s="474"/>
      <c r="H23" s="475"/>
      <c r="I23" s="475"/>
      <c r="J23" s="476"/>
      <c r="K23" s="474"/>
      <c r="L23" s="474"/>
      <c r="M23" s="474"/>
      <c r="N23" s="474"/>
      <c r="O23" s="474"/>
      <c r="P23" s="477"/>
      <c r="Q23" s="940"/>
      <c r="R23" s="474"/>
      <c r="S23" s="474"/>
      <c r="T23" s="474"/>
      <c r="U23" s="940"/>
      <c r="V23" s="478"/>
      <c r="W23" s="478"/>
      <c r="X23" s="478"/>
      <c r="Y23" s="478"/>
      <c r="Z23" s="45"/>
      <c r="AA23" s="31"/>
    </row>
    <row r="24" spans="1:27" ht="30" customHeight="1" x14ac:dyDescent="0.25">
      <c r="A24" s="35" t="s">
        <v>111</v>
      </c>
      <c r="B24" s="594" t="s">
        <v>112</v>
      </c>
      <c r="E24" s="1295"/>
      <c r="F24" s="467"/>
      <c r="G24" s="479"/>
      <c r="H24" s="467"/>
      <c r="I24" s="479"/>
      <c r="J24" s="479"/>
      <c r="K24" s="479"/>
      <c r="L24" s="479"/>
      <c r="M24" s="479"/>
      <c r="N24" s="479"/>
      <c r="O24" s="479"/>
      <c r="P24" s="480"/>
      <c r="Q24" s="940"/>
      <c r="R24" s="467"/>
      <c r="S24" s="479"/>
      <c r="T24" s="479"/>
      <c r="U24" s="940"/>
      <c r="V24" s="470"/>
      <c r="W24" s="470"/>
      <c r="X24" s="470"/>
      <c r="Y24" s="470"/>
      <c r="Z24" s="40"/>
      <c r="AA24" s="33"/>
    </row>
    <row r="25" spans="1:27" ht="30" customHeight="1" x14ac:dyDescent="0.25">
      <c r="C25" s="454" t="s">
        <v>116</v>
      </c>
      <c r="D25" s="1038" t="s">
        <v>958</v>
      </c>
      <c r="E25" s="1017">
        <f>SUM(F25:AA25)</f>
        <v>147</v>
      </c>
      <c r="F25" s="467">
        <f>+'Lijst maatregelen EA'!D30</f>
        <v>110.25</v>
      </c>
      <c r="G25" s="467">
        <f>+'Lijst maatregelen EA'!E30</f>
        <v>36.75</v>
      </c>
      <c r="H25" s="467"/>
      <c r="I25" s="479"/>
      <c r="J25" s="479"/>
      <c r="K25" s="479"/>
      <c r="L25" s="479"/>
      <c r="M25" s="479"/>
      <c r="N25" s="479"/>
      <c r="O25" s="479"/>
      <c r="P25" s="480"/>
      <c r="Q25" s="940"/>
      <c r="R25" s="467"/>
      <c r="S25" s="479"/>
      <c r="T25" s="479"/>
      <c r="U25" s="940"/>
      <c r="V25" s="470"/>
      <c r="W25" s="470"/>
      <c r="X25" s="470"/>
      <c r="Y25" s="470"/>
      <c r="Z25" s="40"/>
      <c r="AA25" s="33"/>
    </row>
    <row r="26" spans="1:27" ht="15.75" x14ac:dyDescent="0.25">
      <c r="D26" s="456" t="s">
        <v>959</v>
      </c>
      <c r="E26" s="1017">
        <f>SUM(F26:AA26)</f>
        <v>0</v>
      </c>
      <c r="F26" s="467"/>
      <c r="G26" s="454"/>
      <c r="H26" s="468"/>
      <c r="I26" s="479"/>
      <c r="J26" s="479"/>
      <c r="K26" s="454"/>
      <c r="L26" s="454"/>
      <c r="M26" s="454"/>
      <c r="N26" s="454"/>
      <c r="O26" s="454"/>
      <c r="P26" s="480"/>
      <c r="Q26" s="940"/>
      <c r="R26" s="473"/>
      <c r="S26" s="473"/>
      <c r="T26" s="473"/>
      <c r="U26" s="940"/>
      <c r="V26" s="467"/>
      <c r="W26" s="467"/>
      <c r="X26" s="467"/>
      <c r="Y26" s="467"/>
      <c r="Z26" s="38"/>
      <c r="AA26" s="31"/>
    </row>
    <row r="27" spans="1:27" ht="15.75" x14ac:dyDescent="0.25">
      <c r="D27" s="456"/>
      <c r="E27" s="1017"/>
      <c r="F27" s="467"/>
      <c r="G27" s="454"/>
      <c r="H27" s="468"/>
      <c r="I27" s="479"/>
      <c r="J27" s="479"/>
      <c r="K27" s="454"/>
      <c r="L27" s="454"/>
      <c r="M27" s="454"/>
      <c r="N27" s="454"/>
      <c r="O27" s="454"/>
      <c r="P27" s="480"/>
      <c r="Q27" s="940"/>
      <c r="R27" s="473"/>
      <c r="S27" s="473"/>
      <c r="T27" s="473"/>
      <c r="U27" s="940"/>
      <c r="V27" s="467"/>
      <c r="W27" s="467"/>
      <c r="X27" s="467"/>
      <c r="Y27" s="467"/>
      <c r="Z27" s="38"/>
      <c r="AA27" s="31"/>
    </row>
    <row r="28" spans="1:27" ht="15.75" x14ac:dyDescent="0.25">
      <c r="C28" s="454" t="s">
        <v>115</v>
      </c>
      <c r="D28" s="1038" t="s">
        <v>958</v>
      </c>
      <c r="E28" s="1017">
        <f>SUM(F28:AA28)</f>
        <v>4043.7</v>
      </c>
      <c r="F28" s="467">
        <f>+'Lijst maatregelen EA'!D33</f>
        <v>3032.7749999999996</v>
      </c>
      <c r="G28" s="479">
        <f>+'Lijst maatregelen EA'!E33</f>
        <v>1010.925</v>
      </c>
      <c r="H28" s="467"/>
      <c r="I28" s="479"/>
      <c r="J28" s="479"/>
      <c r="K28" s="479"/>
      <c r="L28" s="479"/>
      <c r="M28" s="479"/>
      <c r="N28" s="479"/>
      <c r="O28" s="479"/>
      <c r="P28" s="480"/>
      <c r="Q28" s="940"/>
      <c r="R28" s="467"/>
      <c r="S28" s="479"/>
      <c r="T28" s="479"/>
      <c r="U28" s="940"/>
      <c r="V28" s="470"/>
      <c r="W28" s="470"/>
      <c r="X28" s="470"/>
      <c r="Y28" s="470"/>
      <c r="Z28" s="40"/>
      <c r="AA28" s="33"/>
    </row>
    <row r="29" spans="1:27" ht="15.75" x14ac:dyDescent="0.25">
      <c r="A29" s="37"/>
      <c r="B29" s="595"/>
      <c r="C29" s="454"/>
      <c r="D29" s="456" t="s">
        <v>959</v>
      </c>
      <c r="E29" s="1017">
        <f>SUM(F29:AA29)</f>
        <v>7629.0360000000019</v>
      </c>
      <c r="F29" s="467"/>
      <c r="G29" s="468"/>
      <c r="H29" s="479">
        <f>+'Lijst maatregelen EA'!D34</f>
        <v>2095.5120000000002</v>
      </c>
      <c r="I29" s="1004">
        <f>+'Lijst maatregelen EA'!E34</f>
        <v>5533.5240000000022</v>
      </c>
      <c r="J29" s="468"/>
      <c r="K29" s="479"/>
      <c r="L29" s="479"/>
      <c r="M29" s="479"/>
      <c r="N29" s="479"/>
      <c r="O29" s="479"/>
      <c r="P29" s="480"/>
      <c r="Q29" s="940"/>
      <c r="R29" s="467"/>
      <c r="S29" s="481"/>
      <c r="T29" s="481"/>
      <c r="U29" s="940"/>
      <c r="V29" s="470"/>
      <c r="W29" s="470"/>
      <c r="X29" s="470"/>
      <c r="Y29" s="470"/>
      <c r="Z29" s="40"/>
      <c r="AA29" s="33"/>
    </row>
    <row r="30" spans="1:27" ht="15.75" x14ac:dyDescent="0.25">
      <c r="A30" s="37"/>
      <c r="B30" s="595"/>
      <c r="C30" s="454"/>
      <c r="D30" s="456"/>
      <c r="E30" s="1017"/>
      <c r="F30" s="467"/>
      <c r="G30" s="468"/>
      <c r="H30" s="479"/>
      <c r="I30" s="1004"/>
      <c r="J30" s="468"/>
      <c r="K30" s="479"/>
      <c r="L30" s="479"/>
      <c r="M30" s="479"/>
      <c r="N30" s="479"/>
      <c r="O30" s="479"/>
      <c r="P30" s="480"/>
      <c r="Q30" s="940"/>
      <c r="R30" s="467"/>
      <c r="S30" s="481"/>
      <c r="T30" s="481"/>
      <c r="U30" s="940"/>
      <c r="V30" s="470"/>
      <c r="W30" s="470"/>
      <c r="X30" s="470"/>
      <c r="Y30" s="470"/>
      <c r="Z30" s="40"/>
      <c r="AA30" s="33"/>
    </row>
    <row r="31" spans="1:27" ht="15.75" x14ac:dyDescent="0.25">
      <c r="C31" s="454" t="s">
        <v>113</v>
      </c>
      <c r="D31" s="1038" t="s">
        <v>958</v>
      </c>
      <c r="E31" s="1017">
        <f>SUM(F31:AA31)</f>
        <v>780.84999999999991</v>
      </c>
      <c r="F31" s="1004">
        <f>+'Lijst maatregelen EA'!D36</f>
        <v>156.16999999999999</v>
      </c>
      <c r="G31" s="479">
        <f>+'Lijst maatregelen EA'!E36</f>
        <v>624.67999999999995</v>
      </c>
      <c r="H31" s="468"/>
      <c r="I31" s="479"/>
      <c r="J31" s="479"/>
      <c r="K31" s="479"/>
      <c r="L31" s="479"/>
      <c r="M31" s="479"/>
      <c r="N31" s="479"/>
      <c r="O31" s="479"/>
      <c r="P31" s="480"/>
      <c r="Q31" s="940"/>
      <c r="R31" s="473" t="s">
        <v>114</v>
      </c>
      <c r="S31" s="472"/>
      <c r="T31" s="472"/>
      <c r="U31" s="940"/>
      <c r="V31" s="470"/>
      <c r="W31" s="470"/>
      <c r="X31" s="470"/>
      <c r="Y31" s="470"/>
      <c r="Z31" s="40"/>
      <c r="AA31" s="31"/>
    </row>
    <row r="32" spans="1:27" ht="15.75" x14ac:dyDescent="0.25">
      <c r="C32" s="454"/>
      <c r="D32" s="456" t="s">
        <v>959</v>
      </c>
      <c r="E32" s="1017">
        <f>SUM(F32:AA32)</f>
        <v>11251.539000000001</v>
      </c>
      <c r="F32" s="467"/>
      <c r="G32" s="468"/>
      <c r="H32" s="479">
        <f>+'Lijst maatregelen EA'!D37</f>
        <v>1791.9330000000002</v>
      </c>
      <c r="I32" s="1004">
        <f>+'Lijst maatregelen EA'!E37</f>
        <v>9459.6059999999998</v>
      </c>
      <c r="J32" s="468"/>
      <c r="K32" s="479"/>
      <c r="L32" s="479"/>
      <c r="M32" s="479"/>
      <c r="N32" s="479"/>
      <c r="O32" s="479"/>
      <c r="P32" s="480"/>
      <c r="Q32" s="940"/>
      <c r="R32" s="467"/>
      <c r="S32" s="481"/>
      <c r="T32" s="481"/>
      <c r="U32" s="940"/>
      <c r="V32" s="470"/>
      <c r="W32" s="470"/>
      <c r="X32" s="470"/>
      <c r="Y32" s="470"/>
      <c r="Z32" s="40"/>
      <c r="AA32" s="33"/>
    </row>
    <row r="33" spans="1:27" ht="15.75" x14ac:dyDescent="0.25">
      <c r="C33" s="454"/>
      <c r="D33" s="456"/>
      <c r="E33" s="1017"/>
      <c r="F33" s="467"/>
      <c r="G33" s="468"/>
      <c r="H33" s="479"/>
      <c r="I33" s="1004"/>
      <c r="J33" s="468"/>
      <c r="K33" s="479"/>
      <c r="L33" s="479"/>
      <c r="M33" s="479"/>
      <c r="N33" s="479"/>
      <c r="O33" s="479"/>
      <c r="P33" s="480"/>
      <c r="Q33" s="940"/>
      <c r="R33" s="467"/>
      <c r="S33" s="481"/>
      <c r="T33" s="481"/>
      <c r="U33" s="940"/>
      <c r="V33" s="470"/>
      <c r="W33" s="470"/>
      <c r="X33" s="470"/>
      <c r="Y33" s="470"/>
      <c r="Z33" s="40"/>
      <c r="AA33" s="33"/>
    </row>
    <row r="34" spans="1:27" ht="15.75" x14ac:dyDescent="0.25">
      <c r="C34" s="454" t="s">
        <v>331</v>
      </c>
      <c r="D34" s="1038" t="s">
        <v>958</v>
      </c>
      <c r="E34" s="1017">
        <f>SUM(F34:AA34)</f>
        <v>253</v>
      </c>
      <c r="F34" s="467">
        <f>+'Lijst maatregelen EA'!D40</f>
        <v>126.5</v>
      </c>
      <c r="G34" s="479">
        <f>+'Lijst maatregelen EA'!E40</f>
        <v>126.5</v>
      </c>
      <c r="H34" s="468"/>
      <c r="I34" s="479"/>
      <c r="J34" s="479"/>
      <c r="K34" s="479"/>
      <c r="L34" s="479"/>
      <c r="M34" s="479"/>
      <c r="N34" s="479"/>
      <c r="O34" s="479"/>
      <c r="P34" s="480"/>
      <c r="Q34" s="940"/>
      <c r="R34" s="473"/>
      <c r="S34" s="473"/>
      <c r="T34" s="473"/>
      <c r="U34" s="940"/>
      <c r="V34" s="467"/>
      <c r="W34" s="467"/>
      <c r="X34" s="467"/>
      <c r="Y34" s="467"/>
      <c r="Z34" s="38"/>
      <c r="AA34" s="33"/>
    </row>
    <row r="35" spans="1:27" ht="15.75" x14ac:dyDescent="0.25">
      <c r="C35" s="454"/>
      <c r="D35" s="456" t="s">
        <v>959</v>
      </c>
      <c r="E35" s="1017">
        <f>SUM(F35:AA35)</f>
        <v>531.84999999999991</v>
      </c>
      <c r="F35" s="467"/>
      <c r="G35" s="454"/>
      <c r="H35" s="479">
        <f>+'Lijst maatregelen EA'!D41</f>
        <v>146.85</v>
      </c>
      <c r="I35" s="1004">
        <f>+'Lijst maatregelen EA'!E41</f>
        <v>384.99999999999994</v>
      </c>
      <c r="J35" s="468"/>
      <c r="K35" s="479"/>
      <c r="L35" s="479"/>
      <c r="M35" s="479"/>
      <c r="N35" s="479"/>
      <c r="O35" s="479"/>
      <c r="P35" s="480"/>
      <c r="Q35" s="940"/>
      <c r="R35" s="473" t="s">
        <v>114</v>
      </c>
      <c r="S35" s="473"/>
      <c r="T35" s="473"/>
      <c r="U35" s="940"/>
      <c r="V35" s="467"/>
      <c r="W35" s="467"/>
      <c r="X35" s="467"/>
      <c r="Y35" s="467"/>
      <c r="Z35" s="38"/>
      <c r="AA35" s="31"/>
    </row>
    <row r="36" spans="1:27" ht="15.75" x14ac:dyDescent="0.25">
      <c r="C36" s="454"/>
      <c r="D36" s="456"/>
      <c r="E36" s="1017"/>
      <c r="F36" s="467"/>
      <c r="G36" s="454"/>
      <c r="H36" s="479"/>
      <c r="I36" s="468"/>
      <c r="J36" s="468"/>
      <c r="K36" s="479"/>
      <c r="L36" s="479"/>
      <c r="M36" s="479"/>
      <c r="N36" s="479"/>
      <c r="O36" s="479"/>
      <c r="P36" s="480"/>
      <c r="Q36" s="940"/>
      <c r="R36" s="473"/>
      <c r="S36" s="473"/>
      <c r="T36" s="473"/>
      <c r="U36" s="940"/>
      <c r="V36" s="467"/>
      <c r="W36" s="467"/>
      <c r="X36" s="467"/>
      <c r="Y36" s="467"/>
      <c r="Z36" s="38"/>
      <c r="AA36" s="31"/>
    </row>
    <row r="37" spans="1:27" ht="15.75" x14ac:dyDescent="0.25">
      <c r="C37" s="454" t="s">
        <v>332</v>
      </c>
      <c r="D37" s="1038" t="s">
        <v>958</v>
      </c>
      <c r="E37" s="1017">
        <f>SUM(F37:AA37)</f>
        <v>0</v>
      </c>
      <c r="F37" s="473"/>
      <c r="G37" s="481"/>
      <c r="H37" s="482"/>
      <c r="I37" s="483"/>
      <c r="J37" s="482"/>
      <c r="K37" s="473"/>
      <c r="L37" s="481"/>
      <c r="M37" s="479"/>
      <c r="N37" s="479"/>
      <c r="O37" s="479"/>
      <c r="P37" s="480"/>
      <c r="Q37" s="940"/>
      <c r="R37" s="467"/>
      <c r="S37" s="479"/>
      <c r="T37" s="479"/>
      <c r="U37" s="940"/>
      <c r="V37" s="470"/>
      <c r="W37" s="470"/>
      <c r="X37" s="470"/>
      <c r="Y37" s="470"/>
      <c r="Z37" s="40"/>
      <c r="AA37" s="33"/>
    </row>
    <row r="38" spans="1:27" ht="15.75" x14ac:dyDescent="0.25">
      <c r="C38" s="454"/>
      <c r="D38" s="456" t="s">
        <v>959</v>
      </c>
      <c r="E38" s="1017">
        <f>SUM(G38:AA38)</f>
        <v>151.25</v>
      </c>
      <c r="F38" s="37"/>
      <c r="G38" s="486"/>
      <c r="H38" s="485">
        <f>+'Lijst maatregelen EA'!D44</f>
        <v>40.333333333333336</v>
      </c>
      <c r="I38" s="486">
        <f>+'Lijst maatregelen EA'!E44</f>
        <v>110.91666666666666</v>
      </c>
      <c r="J38" s="487"/>
      <c r="K38" s="487"/>
      <c r="L38" s="487"/>
      <c r="M38" s="487"/>
      <c r="N38" s="487"/>
      <c r="O38" s="487"/>
      <c r="P38" s="480"/>
      <c r="Q38" s="940"/>
      <c r="R38" s="488"/>
      <c r="S38" s="487"/>
      <c r="T38" s="487"/>
      <c r="U38" s="940"/>
      <c r="V38" s="488"/>
      <c r="W38" s="488"/>
      <c r="X38" s="488"/>
      <c r="Y38" s="488"/>
      <c r="AA38" s="31"/>
    </row>
    <row r="39" spans="1:27" ht="15.75" x14ac:dyDescent="0.25">
      <c r="C39" s="454"/>
      <c r="D39" s="456"/>
      <c r="E39" s="1017"/>
      <c r="F39" s="485"/>
      <c r="G39" s="486"/>
      <c r="H39" s="486"/>
      <c r="I39" s="487"/>
      <c r="J39" s="487"/>
      <c r="K39" s="487"/>
      <c r="L39" s="487"/>
      <c r="M39" s="487"/>
      <c r="N39" s="487"/>
      <c r="O39" s="487"/>
      <c r="P39" s="480"/>
      <c r="Q39" s="940"/>
      <c r="R39" s="488"/>
      <c r="S39" s="487"/>
      <c r="T39" s="487"/>
      <c r="U39" s="940"/>
      <c r="V39" s="488"/>
      <c r="W39" s="488"/>
      <c r="X39" s="488"/>
      <c r="Y39" s="488"/>
      <c r="AA39" s="31"/>
    </row>
    <row r="40" spans="1:27" ht="15.75" x14ac:dyDescent="0.25">
      <c r="C40" s="454" t="s">
        <v>117</v>
      </c>
      <c r="D40" s="1038" t="s">
        <v>958</v>
      </c>
      <c r="E40" s="1017">
        <f>SUM(F40:AA40)</f>
        <v>0</v>
      </c>
      <c r="F40" s="473"/>
      <c r="G40" s="456"/>
      <c r="H40" s="482"/>
      <c r="I40" s="481">
        <f>+'Lijst maatregelen EA'!E46</f>
        <v>0</v>
      </c>
      <c r="J40" s="481"/>
      <c r="K40" s="489"/>
      <c r="L40" s="454"/>
      <c r="M40" s="454"/>
      <c r="N40" s="454"/>
      <c r="O40" s="454"/>
      <c r="P40" s="480"/>
      <c r="Q40" s="940"/>
      <c r="R40" s="473"/>
      <c r="S40" s="473"/>
      <c r="T40" s="473"/>
      <c r="U40" s="940"/>
      <c r="V40" s="467"/>
      <c r="W40" s="467"/>
      <c r="X40" s="467"/>
      <c r="Y40" s="467"/>
      <c r="Z40" s="38"/>
      <c r="AA40" s="33"/>
    </row>
    <row r="41" spans="1:27" ht="15.75" x14ac:dyDescent="0.25">
      <c r="C41" s="454"/>
      <c r="D41" s="456" t="s">
        <v>959</v>
      </c>
      <c r="E41" s="1017">
        <f>SUM(G41:AA41)</f>
        <v>1031.2499999999998</v>
      </c>
      <c r="G41" s="456"/>
      <c r="H41" s="473">
        <f>+'Lijst maatregelen EA'!D47</f>
        <v>274.99999999999994</v>
      </c>
      <c r="I41" s="490">
        <f>+'Lijst maatregelen EA'!E47</f>
        <v>756.24999999999989</v>
      </c>
      <c r="J41" s="481"/>
      <c r="K41" s="489"/>
      <c r="L41" s="454"/>
      <c r="M41" s="454"/>
      <c r="N41" s="454"/>
      <c r="O41" s="454"/>
      <c r="P41" s="480"/>
      <c r="Q41" s="940"/>
      <c r="R41" s="473"/>
      <c r="S41" s="473"/>
      <c r="T41" s="473"/>
      <c r="U41" s="940"/>
      <c r="V41" s="467"/>
      <c r="W41" s="467"/>
      <c r="X41" s="467"/>
      <c r="Y41" s="467"/>
      <c r="Z41" s="38"/>
      <c r="AA41" s="31"/>
    </row>
    <row r="42" spans="1:27" ht="15.75" x14ac:dyDescent="0.25">
      <c r="C42" s="454"/>
      <c r="D42" s="456"/>
      <c r="E42" s="1017"/>
      <c r="G42" s="456"/>
      <c r="H42" s="473"/>
      <c r="I42" s="490"/>
      <c r="J42" s="481"/>
      <c r="K42" s="489"/>
      <c r="L42" s="454"/>
      <c r="M42" s="454"/>
      <c r="N42" s="454"/>
      <c r="O42" s="454"/>
      <c r="P42" s="480"/>
      <c r="Q42" s="940"/>
      <c r="R42" s="473"/>
      <c r="S42" s="473"/>
      <c r="T42" s="473"/>
      <c r="U42" s="940"/>
      <c r="V42" s="467"/>
      <c r="W42" s="467"/>
      <c r="X42" s="467"/>
      <c r="Y42" s="467"/>
      <c r="Z42" s="38"/>
      <c r="AA42" s="31"/>
    </row>
    <row r="43" spans="1:27" ht="15.75" x14ac:dyDescent="0.25">
      <c r="C43" s="454" t="s">
        <v>229</v>
      </c>
      <c r="D43" s="1038" t="s">
        <v>958</v>
      </c>
      <c r="E43" s="1017"/>
      <c r="F43" s="467"/>
      <c r="G43" s="479"/>
      <c r="H43" s="468"/>
      <c r="I43" s="468"/>
      <c r="J43" s="468"/>
      <c r="K43" s="473"/>
      <c r="L43" s="479"/>
      <c r="M43" s="479"/>
      <c r="N43" s="479"/>
      <c r="O43" s="479"/>
      <c r="P43" s="480"/>
      <c r="Q43" s="940"/>
      <c r="R43" s="467"/>
      <c r="S43" s="479"/>
      <c r="T43" s="479"/>
      <c r="U43" s="940"/>
      <c r="V43" s="470"/>
      <c r="W43" s="470"/>
      <c r="X43" s="470"/>
      <c r="Y43" s="470"/>
      <c r="Z43" s="40"/>
      <c r="AA43" s="33"/>
    </row>
    <row r="44" spans="1:27" ht="15.75" x14ac:dyDescent="0.25">
      <c r="C44" s="454"/>
      <c r="D44" s="456" t="s">
        <v>959</v>
      </c>
      <c r="E44" s="1017">
        <f>SUM(G44:AA44)</f>
        <v>333.33333333333337</v>
      </c>
      <c r="F44" s="37"/>
      <c r="G44" s="481"/>
      <c r="H44" s="473">
        <f>+'Lijst maatregelen EA'!D51</f>
        <v>88.888888888888886</v>
      </c>
      <c r="I44" s="481">
        <f>+'Lijst maatregelen EA'!E51</f>
        <v>244.44444444444451</v>
      </c>
      <c r="J44" s="482"/>
      <c r="K44" s="481"/>
      <c r="L44" s="479"/>
      <c r="M44" s="479"/>
      <c r="N44" s="479"/>
      <c r="O44" s="479"/>
      <c r="P44" s="480"/>
      <c r="Q44" s="940"/>
      <c r="R44" s="473" t="s">
        <v>114</v>
      </c>
      <c r="S44" s="473"/>
      <c r="T44" s="473"/>
      <c r="U44" s="940"/>
      <c r="V44" s="470"/>
      <c r="W44" s="470"/>
      <c r="X44" s="470"/>
      <c r="Y44" s="470"/>
      <c r="Z44" s="40"/>
      <c r="AA44" s="31"/>
    </row>
    <row r="45" spans="1:27" ht="15" customHeight="1" x14ac:dyDescent="0.25">
      <c r="C45" s="454"/>
      <c r="D45" s="456"/>
      <c r="E45" s="1017"/>
      <c r="F45" s="37"/>
      <c r="G45" s="481"/>
      <c r="H45" s="473"/>
      <c r="I45" s="481"/>
      <c r="J45" s="482"/>
      <c r="K45" s="481"/>
      <c r="L45" s="479"/>
      <c r="M45" s="479"/>
      <c r="N45" s="479"/>
      <c r="O45" s="479"/>
      <c r="P45" s="480"/>
      <c r="Q45" s="940"/>
      <c r="R45" s="473"/>
      <c r="S45" s="473"/>
      <c r="T45" s="473"/>
      <c r="U45" s="940"/>
      <c r="V45" s="470"/>
      <c r="W45" s="470"/>
      <c r="X45" s="470"/>
      <c r="Y45" s="470"/>
      <c r="Z45" s="40"/>
      <c r="AA45" s="31"/>
    </row>
    <row r="46" spans="1:27" ht="48.75" customHeight="1" x14ac:dyDescent="0.25">
      <c r="A46" s="37"/>
      <c r="B46" s="595"/>
      <c r="C46" s="457" t="s">
        <v>803</v>
      </c>
      <c r="D46" s="1038" t="s">
        <v>960</v>
      </c>
      <c r="E46" s="1017">
        <f>SUM(F46:AA46)</f>
        <v>10275.450000000001</v>
      </c>
      <c r="F46" s="1004">
        <f>+'Lijst maatregelen EA'!D53</f>
        <v>10275.450000000001</v>
      </c>
      <c r="G46" s="481">
        <v>0</v>
      </c>
      <c r="H46" s="482"/>
      <c r="I46" s="483"/>
      <c r="J46" s="482"/>
      <c r="K46" s="481"/>
      <c r="L46" s="479"/>
      <c r="M46" s="479"/>
      <c r="N46" s="479"/>
      <c r="O46" s="479"/>
      <c r="P46" s="480"/>
      <c r="Q46" s="940"/>
      <c r="R46" s="467"/>
      <c r="S46" s="481"/>
      <c r="T46" s="481"/>
      <c r="U46" s="940"/>
      <c r="V46" s="470"/>
      <c r="W46" s="470"/>
      <c r="X46" s="470"/>
      <c r="Y46" s="470"/>
      <c r="Z46" s="40"/>
      <c r="AA46" s="31"/>
    </row>
    <row r="47" spans="1:27" ht="30" x14ac:dyDescent="0.25">
      <c r="C47" s="455" t="s">
        <v>803</v>
      </c>
      <c r="D47" s="457" t="s">
        <v>961</v>
      </c>
      <c r="E47" s="1017">
        <f>SUM(F47:AA47)</f>
        <v>7928.1944444444443</v>
      </c>
      <c r="F47" s="1039"/>
      <c r="G47" s="481"/>
      <c r="H47" s="1040">
        <f>+'Lijst maatregelen EA'!D54</f>
        <v>2381.166666666667</v>
      </c>
      <c r="I47" s="481">
        <f>+'Lijst maatregelen EA'!E54</f>
        <v>5547.0277777777774</v>
      </c>
      <c r="J47" s="479"/>
      <c r="K47" s="484"/>
      <c r="L47" s="454"/>
      <c r="M47" s="479"/>
      <c r="N47" s="479"/>
      <c r="O47" s="479"/>
      <c r="P47" s="480"/>
      <c r="Q47" s="940"/>
      <c r="R47" s="473"/>
      <c r="S47" s="473"/>
      <c r="T47" s="473"/>
      <c r="U47" s="940"/>
      <c r="V47" s="467"/>
      <c r="W47" s="467"/>
      <c r="X47" s="467"/>
      <c r="Y47" s="467"/>
      <c r="Z47" s="38"/>
      <c r="AA47" s="33"/>
    </row>
    <row r="48" spans="1:27" ht="15.75" x14ac:dyDescent="0.25">
      <c r="C48" s="455"/>
      <c r="D48" s="456"/>
      <c r="E48" s="1017"/>
      <c r="F48" s="483"/>
      <c r="G48" s="490"/>
      <c r="H48" s="481"/>
      <c r="I48" s="481"/>
      <c r="J48" s="479"/>
      <c r="K48" s="484"/>
      <c r="L48" s="454"/>
      <c r="M48" s="479"/>
      <c r="N48" s="479"/>
      <c r="O48" s="479"/>
      <c r="P48" s="480"/>
      <c r="Q48" s="940"/>
      <c r="R48" s="473"/>
      <c r="S48" s="473"/>
      <c r="T48" s="473"/>
      <c r="U48" s="940"/>
      <c r="V48" s="467"/>
      <c r="W48" s="467"/>
      <c r="X48" s="467"/>
      <c r="Y48" s="467"/>
      <c r="Z48" s="38"/>
      <c r="AA48" s="33"/>
    </row>
    <row r="49" spans="1:27" ht="15.75" x14ac:dyDescent="0.25">
      <c r="C49" s="457" t="s">
        <v>804</v>
      </c>
      <c r="D49" s="1038" t="s">
        <v>958</v>
      </c>
      <c r="E49" s="1017">
        <f>SUM(F49:AA49)</f>
        <v>0</v>
      </c>
      <c r="F49" s="37"/>
      <c r="G49" s="37"/>
      <c r="H49" s="37"/>
      <c r="I49" s="37"/>
      <c r="J49" s="479"/>
      <c r="K49" s="484"/>
      <c r="L49" s="454"/>
      <c r="M49" s="479"/>
      <c r="N49" s="479"/>
      <c r="O49" s="479"/>
      <c r="P49" s="480"/>
      <c r="Q49" s="940"/>
      <c r="R49" s="473"/>
      <c r="S49" s="473"/>
      <c r="T49" s="473"/>
      <c r="U49" s="940"/>
      <c r="V49" s="467"/>
      <c r="W49" s="467"/>
      <c r="X49" s="467"/>
      <c r="Y49" s="467"/>
      <c r="Z49" s="38"/>
      <c r="AA49" s="33"/>
    </row>
    <row r="50" spans="1:27" ht="15.75" x14ac:dyDescent="0.25">
      <c r="C50" s="111"/>
      <c r="D50" s="456" t="s">
        <v>959</v>
      </c>
      <c r="E50" s="1017">
        <f>SUM(F50:AA50)</f>
        <v>4601.9049999999997</v>
      </c>
      <c r="F50" s="481"/>
      <c r="G50" s="484"/>
      <c r="H50" s="481">
        <f>+'Lijst maatregelen EA'!$D$55</f>
        <v>1229.8599999999997</v>
      </c>
      <c r="I50" s="479">
        <f>+'Lijst maatregelen EA'!$E$55</f>
        <v>3372.0450000000001</v>
      </c>
      <c r="J50" s="479"/>
      <c r="K50" s="484"/>
      <c r="L50" s="454"/>
      <c r="M50" s="479"/>
      <c r="N50" s="479"/>
      <c r="O50" s="479"/>
      <c r="P50" s="480"/>
      <c r="Q50" s="940"/>
      <c r="R50" s="473"/>
      <c r="S50" s="473"/>
      <c r="T50" s="473"/>
      <c r="U50" s="940"/>
      <c r="V50" s="467"/>
      <c r="W50" s="467"/>
      <c r="X50" s="467"/>
      <c r="Y50" s="467"/>
      <c r="Z50" s="38"/>
      <c r="AA50" s="33"/>
    </row>
    <row r="51" spans="1:27" s="111" customFormat="1" ht="15" customHeight="1" x14ac:dyDescent="0.25">
      <c r="A51" s="47"/>
      <c r="B51" s="596"/>
      <c r="C51" s="48"/>
      <c r="D51" s="48"/>
      <c r="E51" s="1018"/>
      <c r="F51" s="491"/>
      <c r="G51" s="491"/>
      <c r="H51" s="475"/>
      <c r="I51" s="475"/>
      <c r="J51" s="475"/>
      <c r="K51" s="491"/>
      <c r="L51" s="491"/>
      <c r="M51" s="491"/>
      <c r="N51" s="491"/>
      <c r="O51" s="491"/>
      <c r="P51" s="492"/>
      <c r="Q51" s="940"/>
      <c r="R51" s="491"/>
      <c r="S51" s="491"/>
      <c r="T51" s="491"/>
      <c r="U51" s="940"/>
      <c r="V51" s="491"/>
      <c r="W51" s="491"/>
      <c r="X51" s="491"/>
      <c r="Y51" s="491"/>
      <c r="Z51" s="1015"/>
      <c r="AA51" s="32"/>
    </row>
    <row r="52" spans="1:27" s="39" customFormat="1" ht="50.25" customHeight="1" x14ac:dyDescent="0.25">
      <c r="A52" s="41" t="s">
        <v>118</v>
      </c>
      <c r="B52" s="592" t="s">
        <v>119</v>
      </c>
      <c r="E52" s="1017"/>
      <c r="F52" s="467"/>
      <c r="G52" s="467"/>
      <c r="H52" s="468"/>
      <c r="I52" s="468"/>
      <c r="J52" s="469"/>
      <c r="K52" s="467"/>
      <c r="L52" s="467"/>
      <c r="M52" s="467"/>
      <c r="N52" s="467"/>
      <c r="O52" s="467"/>
      <c r="P52" s="462"/>
      <c r="Q52" s="940"/>
      <c r="R52" s="467"/>
      <c r="S52" s="467"/>
      <c r="T52" s="467"/>
      <c r="U52" s="940"/>
      <c r="V52" s="467"/>
      <c r="W52" s="467"/>
      <c r="X52" s="467"/>
      <c r="Y52" s="467"/>
      <c r="Z52" s="38"/>
      <c r="AA52" s="31"/>
    </row>
    <row r="53" spans="1:27" s="39" customFormat="1" ht="33" customHeight="1" x14ac:dyDescent="0.25">
      <c r="B53" s="51"/>
      <c r="C53" s="444" t="s">
        <v>258</v>
      </c>
      <c r="D53" s="581" t="s">
        <v>259</v>
      </c>
      <c r="E53" s="1017">
        <f>SUM(F53:AA53)</f>
        <v>5283.2610278573347</v>
      </c>
      <c r="F53" s="467"/>
      <c r="G53" s="467"/>
      <c r="H53" s="468"/>
      <c r="I53" s="468"/>
      <c r="J53" s="469"/>
      <c r="K53" s="472"/>
      <c r="L53" s="467"/>
      <c r="M53" s="467"/>
      <c r="N53" s="467">
        <f>+'Lijst maatregelen EA'!F58</f>
        <v>5283.2610278573347</v>
      </c>
      <c r="O53" s="467"/>
      <c r="P53" s="462"/>
      <c r="Q53" s="940"/>
      <c r="R53" s="471"/>
      <c r="S53" s="471"/>
      <c r="T53" s="471"/>
      <c r="U53" s="940"/>
      <c r="V53" s="467"/>
      <c r="W53" s="467"/>
      <c r="X53" s="467"/>
      <c r="Y53" s="467"/>
      <c r="Z53" s="38"/>
      <c r="AA53" s="33"/>
    </row>
    <row r="54" spans="1:27" s="39" customFormat="1" ht="15.75" x14ac:dyDescent="0.25">
      <c r="B54" s="51"/>
      <c r="C54" s="445"/>
      <c r="D54" s="524" t="s">
        <v>389</v>
      </c>
      <c r="E54" s="1019">
        <f>SUM(F54:AA54)</f>
        <v>2618.8649037390351</v>
      </c>
      <c r="F54" s="467"/>
      <c r="G54" s="467"/>
      <c r="H54" s="468"/>
      <c r="I54" s="468"/>
      <c r="J54" s="469"/>
      <c r="K54" s="472"/>
      <c r="L54" s="467"/>
      <c r="M54" s="467"/>
      <c r="N54" s="493"/>
      <c r="O54" s="467"/>
      <c r="P54" s="462"/>
      <c r="Q54" s="940"/>
      <c r="R54" s="471"/>
      <c r="S54" s="494">
        <f>+'Lijst maatregelen EA'!F60</f>
        <v>2618.8649037390351</v>
      </c>
      <c r="T54" s="495"/>
      <c r="U54" s="940"/>
      <c r="V54" s="467"/>
      <c r="W54" s="467"/>
      <c r="X54" s="467"/>
      <c r="Y54" s="467"/>
      <c r="Z54" s="38"/>
      <c r="AA54" s="31"/>
    </row>
    <row r="55" spans="1:27" s="39" customFormat="1" ht="15" customHeight="1" x14ac:dyDescent="0.25">
      <c r="A55" s="43"/>
      <c r="B55" s="593"/>
      <c r="C55" s="44"/>
      <c r="D55" s="44"/>
      <c r="E55" s="1018"/>
      <c r="F55" s="474"/>
      <c r="G55" s="474"/>
      <c r="H55" s="475"/>
      <c r="I55" s="475"/>
      <c r="J55" s="476"/>
      <c r="K55" s="474"/>
      <c r="L55" s="474"/>
      <c r="M55" s="474"/>
      <c r="N55" s="474"/>
      <c r="O55" s="474"/>
      <c r="P55" s="477"/>
      <c r="Q55" s="940"/>
      <c r="R55" s="474"/>
      <c r="S55" s="474"/>
      <c r="T55" s="474"/>
      <c r="U55" s="940"/>
      <c r="V55" s="474"/>
      <c r="W55" s="474"/>
      <c r="X55" s="474"/>
      <c r="Y55" s="474"/>
      <c r="Z55" s="1014"/>
      <c r="AA55" s="32"/>
    </row>
    <row r="56" spans="1:27" ht="51" customHeight="1" x14ac:dyDescent="0.25">
      <c r="A56" s="35" t="s">
        <v>120</v>
      </c>
      <c r="B56" s="594" t="s">
        <v>412</v>
      </c>
      <c r="E56" s="1017"/>
      <c r="F56" s="467"/>
      <c r="G56" s="479"/>
      <c r="H56" s="468"/>
      <c r="I56" s="468"/>
      <c r="J56" s="469"/>
      <c r="K56" s="479"/>
      <c r="L56" s="479"/>
      <c r="M56" s="479"/>
      <c r="N56" s="479"/>
      <c r="O56" s="479"/>
      <c r="P56" s="480"/>
      <c r="Q56" s="940"/>
      <c r="R56" s="467"/>
      <c r="S56" s="479"/>
      <c r="T56" s="479"/>
      <c r="U56" s="940"/>
      <c r="V56" s="467"/>
      <c r="W56" s="467"/>
      <c r="X56" s="467"/>
      <c r="Y56" s="467"/>
      <c r="Z56" s="38"/>
      <c r="AA56" s="31"/>
    </row>
    <row r="57" spans="1:27" ht="15.75" x14ac:dyDescent="0.25">
      <c r="C57" s="458" t="s">
        <v>121</v>
      </c>
      <c r="D57" s="457" t="s">
        <v>721</v>
      </c>
      <c r="E57" s="1017">
        <f>SUM(F57:AA57)</f>
        <v>3000</v>
      </c>
      <c r="F57" s="467"/>
      <c r="G57" s="479"/>
      <c r="H57" s="468"/>
      <c r="I57" s="468"/>
      <c r="J57" s="469"/>
      <c r="K57" s="479"/>
      <c r="L57" s="479"/>
      <c r="M57" s="479"/>
      <c r="N57" s="479"/>
      <c r="O57" s="479"/>
      <c r="P57" s="480"/>
      <c r="Q57" s="940"/>
      <c r="R57" s="473">
        <f>+'Lijst maatregelen EA'!D38</f>
        <v>3000</v>
      </c>
      <c r="S57" s="473"/>
      <c r="T57" s="473"/>
      <c r="U57" s="940"/>
      <c r="V57" s="467"/>
      <c r="W57" s="467"/>
      <c r="X57" s="467"/>
      <c r="Y57" s="467"/>
      <c r="Z57" s="38"/>
      <c r="AA57" s="33"/>
    </row>
    <row r="58" spans="1:27" ht="30" customHeight="1" x14ac:dyDescent="0.25">
      <c r="C58" s="459" t="s">
        <v>386</v>
      </c>
      <c r="D58" s="459" t="s">
        <v>514</v>
      </c>
      <c r="E58" s="1017">
        <f>SUM(F58:AA58)</f>
        <v>9653.1095812499989</v>
      </c>
      <c r="F58" s="467"/>
      <c r="G58" s="479"/>
      <c r="H58" s="468"/>
      <c r="I58" s="468"/>
      <c r="J58" s="469"/>
      <c r="K58" s="479"/>
      <c r="L58" s="479"/>
      <c r="M58" s="479"/>
      <c r="N58" s="479"/>
      <c r="O58" s="479"/>
      <c r="P58" s="480"/>
      <c r="Q58" s="940"/>
      <c r="R58" s="471"/>
      <c r="S58" s="473"/>
      <c r="T58" s="473"/>
      <c r="U58" s="940"/>
      <c r="V58" s="467"/>
      <c r="W58" s="467"/>
      <c r="X58" s="467">
        <f>+'Lijst maatregelen EA'!F63</f>
        <v>9653.1095812499989</v>
      </c>
      <c r="Y58" s="467"/>
      <c r="Z58" s="38"/>
      <c r="AA58" s="31"/>
    </row>
    <row r="59" spans="1:27" s="453" customFormat="1" ht="30" x14ac:dyDescent="0.25">
      <c r="A59" s="450"/>
      <c r="B59" s="597"/>
      <c r="C59" s="459" t="s">
        <v>385</v>
      </c>
      <c r="D59" s="459" t="s">
        <v>515</v>
      </c>
      <c r="E59" s="1017">
        <f>SUM(F59:AA59)</f>
        <v>0</v>
      </c>
      <c r="F59" s="467"/>
      <c r="G59" s="479"/>
      <c r="H59" s="468"/>
      <c r="I59" s="468"/>
      <c r="J59" s="469"/>
      <c r="K59" s="479"/>
      <c r="L59" s="479"/>
      <c r="M59" s="479"/>
      <c r="N59" s="479"/>
      <c r="O59" s="479"/>
      <c r="P59" s="480"/>
      <c r="Q59" s="940"/>
      <c r="R59" s="471"/>
      <c r="S59" s="473"/>
      <c r="T59" s="473"/>
      <c r="U59" s="940"/>
      <c r="V59" s="467"/>
      <c r="W59" s="467"/>
      <c r="Y59" s="467"/>
      <c r="Z59" s="451"/>
      <c r="AA59" s="452"/>
    </row>
    <row r="60" spans="1:27" ht="30" x14ac:dyDescent="0.25">
      <c r="C60" s="459" t="s">
        <v>383</v>
      </c>
      <c r="D60" s="454" t="s">
        <v>516</v>
      </c>
      <c r="E60" s="1017">
        <f>SUM(F60:AA60)</f>
        <v>2500</v>
      </c>
      <c r="F60" s="467"/>
      <c r="G60" s="479"/>
      <c r="H60" s="468"/>
      <c r="I60" s="468"/>
      <c r="J60" s="469"/>
      <c r="K60" s="479"/>
      <c r="L60" s="479"/>
      <c r="M60" s="479"/>
      <c r="N60" s="479"/>
      <c r="O60" s="479"/>
      <c r="P60" s="480"/>
      <c r="Q60" s="940"/>
      <c r="R60" s="471"/>
      <c r="S60" s="473"/>
      <c r="T60" s="473"/>
      <c r="U60" s="940"/>
      <c r="V60" s="467"/>
      <c r="W60" s="467">
        <f>+Uitgangspunten!B50</f>
        <v>2500</v>
      </c>
      <c r="X60" s="467"/>
      <c r="Y60" s="467"/>
      <c r="Z60" s="38"/>
      <c r="AA60" s="31"/>
    </row>
    <row r="61" spans="1:27" ht="115.5" customHeight="1" x14ac:dyDescent="0.25">
      <c r="C61" s="455" t="s">
        <v>687</v>
      </c>
      <c r="D61" s="457" t="s">
        <v>691</v>
      </c>
      <c r="E61" s="1017">
        <f>SUM(F61:AA61)</f>
        <v>4000</v>
      </c>
      <c r="F61" s="467"/>
      <c r="G61" s="479"/>
      <c r="H61" s="468"/>
      <c r="I61" s="468"/>
      <c r="J61" s="469"/>
      <c r="K61" s="479"/>
      <c r="L61" s="479"/>
      <c r="M61" s="479"/>
      <c r="N61" s="479"/>
      <c r="O61" s="479"/>
      <c r="P61" s="480"/>
      <c r="Q61" s="940"/>
      <c r="R61" s="471"/>
      <c r="S61" s="473"/>
      <c r="T61" s="473"/>
      <c r="U61" s="940"/>
      <c r="V61" s="467"/>
      <c r="W61" s="467"/>
      <c r="X61" s="473">
        <f>+Uitgangspunten!B49</f>
        <v>4000</v>
      </c>
      <c r="Y61" s="467"/>
      <c r="Z61" s="38"/>
      <c r="AA61" s="31"/>
    </row>
    <row r="62" spans="1:27" s="44" customFormat="1" ht="15" customHeight="1" x14ac:dyDescent="0.25">
      <c r="A62" s="43"/>
      <c r="B62" s="593"/>
      <c r="C62" s="48"/>
      <c r="D62" s="48"/>
      <c r="E62" s="1017"/>
      <c r="F62" s="474"/>
      <c r="G62" s="474"/>
      <c r="H62" s="475"/>
      <c r="I62" s="475"/>
      <c r="J62" s="476"/>
      <c r="K62" s="474"/>
      <c r="L62" s="474"/>
      <c r="M62" s="474"/>
      <c r="N62" s="474"/>
      <c r="O62" s="474"/>
      <c r="P62" s="477"/>
      <c r="Q62" s="940"/>
      <c r="R62" s="474"/>
      <c r="S62" s="474"/>
      <c r="T62" s="474"/>
      <c r="U62" s="940"/>
      <c r="V62" s="474"/>
      <c r="W62" s="474"/>
      <c r="X62" s="474"/>
      <c r="Y62" s="474"/>
      <c r="Z62" s="50"/>
      <c r="AA62" s="31"/>
    </row>
    <row r="63" spans="1:27" s="39" customFormat="1" ht="15" customHeight="1" x14ac:dyDescent="0.25">
      <c r="A63" s="41" t="s">
        <v>122</v>
      </c>
      <c r="B63" s="592" t="s">
        <v>123</v>
      </c>
      <c r="E63" s="1017"/>
      <c r="F63" s="467"/>
      <c r="G63" s="467"/>
      <c r="H63" s="468"/>
      <c r="I63" s="468"/>
      <c r="J63" s="469"/>
      <c r="K63" s="467"/>
      <c r="L63" s="467"/>
      <c r="M63" s="467"/>
      <c r="N63" s="467"/>
      <c r="O63" s="467"/>
      <c r="P63" s="462"/>
      <c r="Q63" s="940"/>
      <c r="R63" s="467"/>
      <c r="S63" s="467"/>
      <c r="T63" s="467"/>
      <c r="U63" s="940"/>
      <c r="V63" s="467"/>
      <c r="W63" s="467"/>
      <c r="X63" s="467"/>
      <c r="Y63" s="467"/>
      <c r="Z63" s="38"/>
      <c r="AA63" s="33"/>
    </row>
    <row r="64" spans="1:27" s="39" customFormat="1" ht="15" customHeight="1" x14ac:dyDescent="0.25">
      <c r="A64" s="41"/>
      <c r="B64" s="592"/>
      <c r="C64" s="413" t="s">
        <v>124</v>
      </c>
      <c r="D64" s="413" t="s">
        <v>379</v>
      </c>
      <c r="E64" s="1017">
        <f>SUM(F64:AA64)</f>
        <v>624</v>
      </c>
      <c r="F64" s="467"/>
      <c r="G64" s="467"/>
      <c r="H64" s="468"/>
      <c r="I64" s="468"/>
      <c r="J64" s="467">
        <f>+'Lijst maatregelen EA'!D68</f>
        <v>624</v>
      </c>
      <c r="K64" s="467"/>
      <c r="L64" s="467"/>
      <c r="M64" s="467"/>
      <c r="N64" s="467"/>
      <c r="O64" s="467"/>
      <c r="P64" s="462"/>
      <c r="Q64" s="940"/>
      <c r="R64" s="467"/>
      <c r="S64" s="467"/>
      <c r="T64" s="467"/>
      <c r="U64" s="940"/>
      <c r="V64" s="467"/>
      <c r="W64" s="467"/>
      <c r="X64" s="467"/>
      <c r="Y64" s="467"/>
      <c r="Z64" s="38"/>
      <c r="AA64" s="31"/>
    </row>
    <row r="65" spans="1:27" s="44" customFormat="1" ht="15" customHeight="1" x14ac:dyDescent="0.25">
      <c r="A65" s="43"/>
      <c r="B65" s="593"/>
      <c r="E65" s="1017"/>
      <c r="F65" s="474"/>
      <c r="G65" s="474"/>
      <c r="H65" s="475"/>
      <c r="I65" s="475"/>
      <c r="J65" s="476"/>
      <c r="K65" s="474"/>
      <c r="L65" s="474"/>
      <c r="M65" s="474"/>
      <c r="N65" s="474"/>
      <c r="O65" s="474"/>
      <c r="P65" s="477"/>
      <c r="Q65" s="940"/>
      <c r="R65" s="474"/>
      <c r="S65" s="474"/>
      <c r="T65" s="474"/>
      <c r="U65" s="940"/>
      <c r="V65" s="474"/>
      <c r="W65" s="474"/>
      <c r="X65" s="474"/>
      <c r="Y65" s="474"/>
      <c r="Z65" s="50"/>
      <c r="AA65" s="33"/>
    </row>
    <row r="66" spans="1:27" ht="15" customHeight="1" x14ac:dyDescent="0.25">
      <c r="A66" s="35" t="s">
        <v>125</v>
      </c>
      <c r="B66" s="594" t="s">
        <v>126</v>
      </c>
      <c r="E66" s="1017"/>
      <c r="F66" s="467"/>
      <c r="G66" s="479"/>
      <c r="H66" s="468"/>
      <c r="I66" s="468"/>
      <c r="J66" s="469"/>
      <c r="K66" s="479"/>
      <c r="L66" s="479"/>
      <c r="M66" s="479"/>
      <c r="N66" s="479"/>
      <c r="O66" s="479"/>
      <c r="P66" s="480"/>
      <c r="Q66" s="940"/>
      <c r="R66" s="467"/>
      <c r="S66" s="479"/>
      <c r="T66" s="479"/>
      <c r="U66" s="940"/>
      <c r="V66" s="467"/>
      <c r="W66" s="467"/>
      <c r="X66" s="467"/>
      <c r="Y66" s="467"/>
      <c r="Z66" s="38"/>
      <c r="AA66" s="31"/>
    </row>
    <row r="67" spans="1:27" ht="15" customHeight="1" x14ac:dyDescent="0.25">
      <c r="C67" s="37" t="s">
        <v>127</v>
      </c>
      <c r="E67" s="1017">
        <f>SUM(F67:AA67)</f>
        <v>91.671000000000006</v>
      </c>
      <c r="F67" s="467"/>
      <c r="G67" s="479"/>
      <c r="H67" s="468"/>
      <c r="I67" s="468"/>
      <c r="J67" s="479">
        <f>+'Lijst maatregelen EA'!D71</f>
        <v>91.671000000000006</v>
      </c>
      <c r="K67" s="479"/>
      <c r="L67" s="479"/>
      <c r="M67" s="479"/>
      <c r="N67" s="479"/>
      <c r="O67" s="479"/>
      <c r="P67" s="480"/>
      <c r="Q67" s="940"/>
      <c r="R67" s="467"/>
      <c r="S67" s="479"/>
      <c r="T67" s="479"/>
      <c r="U67" s="940"/>
      <c r="V67" s="467"/>
      <c r="W67" s="467"/>
      <c r="X67" s="467"/>
      <c r="Y67" s="467"/>
      <c r="Z67" s="38"/>
      <c r="AA67" s="33"/>
    </row>
    <row r="68" spans="1:27" s="44" customFormat="1" ht="15" customHeight="1" x14ac:dyDescent="0.25">
      <c r="A68" s="43"/>
      <c r="B68" s="593"/>
      <c r="E68" s="1017"/>
      <c r="F68" s="474"/>
      <c r="G68" s="474"/>
      <c r="H68" s="475"/>
      <c r="I68" s="475"/>
      <c r="J68" s="476"/>
      <c r="K68" s="474"/>
      <c r="L68" s="474"/>
      <c r="M68" s="474"/>
      <c r="N68" s="474"/>
      <c r="O68" s="474"/>
      <c r="P68" s="477"/>
      <c r="Q68" s="940"/>
      <c r="R68" s="474"/>
      <c r="S68" s="474"/>
      <c r="T68" s="474"/>
      <c r="U68" s="940"/>
      <c r="V68" s="474"/>
      <c r="W68" s="474"/>
      <c r="X68" s="474"/>
      <c r="Y68" s="474"/>
      <c r="Z68" s="50"/>
      <c r="AA68" s="31"/>
    </row>
    <row r="69" spans="1:27" s="39" customFormat="1" ht="36" customHeight="1" x14ac:dyDescent="0.25">
      <c r="A69" s="41" t="s">
        <v>128</v>
      </c>
      <c r="B69" s="592" t="s">
        <v>129</v>
      </c>
      <c r="E69" s="1017"/>
      <c r="F69" s="467"/>
      <c r="G69" s="467"/>
      <c r="H69" s="468"/>
      <c r="I69" s="468"/>
      <c r="J69" s="469"/>
      <c r="K69" s="467"/>
      <c r="L69" s="467"/>
      <c r="M69" s="467"/>
      <c r="N69" s="467"/>
      <c r="O69" s="467"/>
      <c r="P69" s="462"/>
      <c r="Q69" s="940"/>
      <c r="R69" s="467"/>
      <c r="S69" s="467"/>
      <c r="T69" s="467"/>
      <c r="U69" s="940"/>
      <c r="V69" s="467"/>
      <c r="W69" s="467"/>
      <c r="X69" s="467"/>
      <c r="Y69" s="467"/>
      <c r="Z69" s="38"/>
      <c r="AA69" s="33"/>
    </row>
    <row r="70" spans="1:27" s="39" customFormat="1" ht="15" customHeight="1" x14ac:dyDescent="0.25">
      <c r="A70" s="41"/>
      <c r="B70" s="592"/>
      <c r="C70" s="462" t="s">
        <v>132</v>
      </c>
      <c r="D70" s="462" t="s">
        <v>517</v>
      </c>
      <c r="E70" s="1017">
        <f>SUM(F70:AA70)</f>
        <v>6242.7425557466513</v>
      </c>
      <c r="F70" s="467"/>
      <c r="G70" s="467"/>
      <c r="H70" s="468"/>
      <c r="I70" s="468"/>
      <c r="J70" s="468"/>
      <c r="K70" s="467"/>
      <c r="L70" s="467"/>
      <c r="M70" s="467"/>
      <c r="N70" s="467"/>
      <c r="O70" s="467">
        <f>+'Lijst maatregelen EA'!F74</f>
        <v>6242.7425557466513</v>
      </c>
      <c r="P70" s="462"/>
      <c r="Q70" s="940"/>
      <c r="R70" s="467"/>
      <c r="S70" s="467"/>
      <c r="T70" s="467"/>
      <c r="U70" s="940"/>
      <c r="V70" s="467"/>
      <c r="W70" s="467"/>
      <c r="X70" s="467"/>
      <c r="Y70" s="467"/>
      <c r="Z70" s="38"/>
      <c r="AA70" s="31"/>
    </row>
    <row r="71" spans="1:27" s="51" customFormat="1" ht="30" customHeight="1" x14ac:dyDescent="0.25">
      <c r="C71" s="463" t="s">
        <v>130</v>
      </c>
      <c r="D71" s="459" t="s">
        <v>378</v>
      </c>
      <c r="E71" s="1020">
        <f>SUM(F71:AA71)</f>
        <v>7571.68</v>
      </c>
      <c r="F71" s="496"/>
      <c r="G71" s="496"/>
      <c r="H71" s="497"/>
      <c r="I71" s="497"/>
      <c r="J71" s="499">
        <f>+'Lijst maatregelen EA'!D81</f>
        <v>7571.68</v>
      </c>
      <c r="K71" s="498"/>
      <c r="L71" s="496"/>
      <c r="M71" s="496"/>
      <c r="N71" s="496"/>
      <c r="O71" s="496"/>
      <c r="P71" s="463"/>
      <c r="Q71" s="940"/>
      <c r="R71" s="496"/>
      <c r="S71" s="496"/>
      <c r="T71" s="496"/>
      <c r="U71" s="940"/>
      <c r="V71" s="496"/>
      <c r="W71" s="496"/>
      <c r="X71" s="496"/>
      <c r="Y71" s="496"/>
      <c r="Z71" s="460"/>
      <c r="AA71" s="461"/>
    </row>
    <row r="72" spans="1:27" s="39" customFormat="1" ht="15" customHeight="1" x14ac:dyDescent="0.25">
      <c r="B72" s="51"/>
      <c r="C72" s="462"/>
      <c r="D72" s="462" t="s">
        <v>131</v>
      </c>
      <c r="E72" s="1017">
        <f>SUM(F72:AA72)</f>
        <v>40</v>
      </c>
      <c r="F72" s="467"/>
      <c r="G72" s="467"/>
      <c r="H72" s="468"/>
      <c r="I72" s="468"/>
      <c r="J72" s="467">
        <f>+'Lijst maatregelen EA'!D85</f>
        <v>40</v>
      </c>
      <c r="K72" s="467"/>
      <c r="L72" s="467"/>
      <c r="M72" s="467"/>
      <c r="N72" s="467"/>
      <c r="O72" s="467"/>
      <c r="P72" s="462"/>
      <c r="Q72" s="940"/>
      <c r="R72" s="467"/>
      <c r="S72" s="467"/>
      <c r="T72" s="467"/>
      <c r="U72" s="940"/>
      <c r="V72" s="467"/>
      <c r="W72" s="467"/>
      <c r="X72" s="467"/>
      <c r="Y72" s="467"/>
      <c r="Z72" s="38"/>
      <c r="AA72" s="31"/>
    </row>
    <row r="73" spans="1:27" s="39" customFormat="1" ht="15" customHeight="1" x14ac:dyDescent="0.25">
      <c r="B73" s="51"/>
      <c r="C73" s="462" t="s">
        <v>145</v>
      </c>
      <c r="D73" s="462" t="s">
        <v>144</v>
      </c>
      <c r="E73" s="1017">
        <f>SUM(F73:AA73)</f>
        <v>0</v>
      </c>
      <c r="F73" s="467"/>
      <c r="G73" s="467"/>
      <c r="H73" s="468"/>
      <c r="I73" s="468"/>
      <c r="J73" s="469"/>
      <c r="K73" s="467"/>
      <c r="L73" s="467"/>
      <c r="M73" s="467"/>
      <c r="N73" s="467"/>
      <c r="O73" s="467"/>
      <c r="P73" s="462"/>
      <c r="Q73" s="940"/>
      <c r="R73" s="467"/>
      <c r="S73" s="467"/>
      <c r="T73" s="467"/>
      <c r="U73" s="940"/>
      <c r="V73" s="467"/>
      <c r="W73" s="467"/>
      <c r="X73" s="467"/>
      <c r="Y73" s="467"/>
      <c r="Z73" s="38"/>
      <c r="AA73" s="33"/>
    </row>
    <row r="74" spans="1:27" s="39" customFormat="1" ht="15" customHeight="1" x14ac:dyDescent="0.25">
      <c r="A74" s="43"/>
      <c r="B74" s="593"/>
      <c r="C74" s="464"/>
      <c r="D74" s="464"/>
      <c r="E74" s="1018"/>
      <c r="F74" s="474"/>
      <c r="G74" s="474"/>
      <c r="H74" s="475"/>
      <c r="I74" s="475"/>
      <c r="J74" s="476"/>
      <c r="K74" s="474"/>
      <c r="L74" s="474"/>
      <c r="M74" s="474"/>
      <c r="N74" s="474"/>
      <c r="O74" s="474"/>
      <c r="P74" s="477"/>
      <c r="Q74" s="940"/>
      <c r="R74" s="474"/>
      <c r="S74" s="474"/>
      <c r="T74" s="474"/>
      <c r="U74" s="940"/>
      <c r="V74" s="474"/>
      <c r="W74" s="474"/>
      <c r="X74" s="474"/>
      <c r="Y74" s="474"/>
      <c r="Z74" s="50"/>
      <c r="AA74" s="29"/>
    </row>
    <row r="75" spans="1:27" s="39" customFormat="1" ht="30.75" customHeight="1" x14ac:dyDescent="0.25">
      <c r="A75" s="41" t="s">
        <v>133</v>
      </c>
      <c r="B75" s="592" t="s">
        <v>413</v>
      </c>
      <c r="E75" s="1017"/>
      <c r="F75" s="467"/>
      <c r="G75" s="467"/>
      <c r="H75" s="1011"/>
      <c r="I75" s="1011"/>
      <c r="J75" s="1012"/>
      <c r="K75" s="467"/>
      <c r="L75" s="467"/>
      <c r="M75" s="467"/>
      <c r="N75" s="467"/>
      <c r="O75" s="467"/>
      <c r="P75" s="1013"/>
      <c r="Q75" s="940"/>
      <c r="R75" s="467"/>
      <c r="S75" s="467"/>
      <c r="T75" s="467"/>
      <c r="U75" s="940"/>
      <c r="V75" s="467"/>
      <c r="W75" s="467"/>
      <c r="X75" s="467"/>
      <c r="Y75" s="467"/>
      <c r="Z75" s="38"/>
      <c r="AA75" s="32"/>
    </row>
    <row r="76" spans="1:27" s="39" customFormat="1" ht="15" customHeight="1" x14ac:dyDescent="0.25">
      <c r="A76" s="41"/>
      <c r="B76" s="592"/>
      <c r="C76" s="413" t="s">
        <v>134</v>
      </c>
      <c r="D76" s="413" t="s">
        <v>135</v>
      </c>
      <c r="E76" s="1017">
        <f>SUM(F76:AA76)</f>
        <v>0</v>
      </c>
      <c r="F76" s="467"/>
      <c r="G76" s="467"/>
      <c r="H76" s="1011"/>
      <c r="I76" s="1011"/>
      <c r="J76" s="1012"/>
      <c r="K76" s="467"/>
      <c r="L76" s="467"/>
      <c r="M76" s="467"/>
      <c r="N76" s="467"/>
      <c r="O76" s="467"/>
      <c r="P76" s="1013"/>
      <c r="Q76" s="940"/>
      <c r="R76" s="467"/>
      <c r="S76" s="467"/>
      <c r="T76" s="467"/>
      <c r="U76" s="940"/>
      <c r="V76" s="467"/>
      <c r="W76" s="467"/>
      <c r="X76" s="467"/>
      <c r="Y76" s="467"/>
      <c r="Z76" s="38"/>
      <c r="AA76" s="29"/>
    </row>
    <row r="77" spans="1:27" s="39" customFormat="1" ht="15" customHeight="1" x14ac:dyDescent="0.25">
      <c r="A77" s="41"/>
      <c r="B77" s="592"/>
      <c r="C77" s="413"/>
      <c r="D77" s="413" t="s">
        <v>143</v>
      </c>
      <c r="E77" s="1017">
        <f>SUM(F77:AA77)</f>
        <v>0</v>
      </c>
      <c r="F77" s="467"/>
      <c r="G77" s="467"/>
      <c r="H77" s="1011"/>
      <c r="I77" s="1011"/>
      <c r="J77" s="1012"/>
      <c r="K77" s="467"/>
      <c r="L77" s="467"/>
      <c r="M77" s="467"/>
      <c r="N77" s="467"/>
      <c r="O77" s="467"/>
      <c r="P77" s="1013"/>
      <c r="Q77" s="940"/>
      <c r="R77" s="467"/>
      <c r="S77" s="467"/>
      <c r="T77" s="467"/>
      <c r="U77" s="940"/>
      <c r="V77" s="467"/>
      <c r="W77" s="467"/>
      <c r="X77" s="467"/>
      <c r="Y77" s="467"/>
      <c r="Z77" s="38"/>
      <c r="AA77" s="32"/>
    </row>
    <row r="78" spans="1:27" s="39" customFormat="1" ht="15" customHeight="1" x14ac:dyDescent="0.25">
      <c r="A78" s="43"/>
      <c r="B78" s="593"/>
      <c r="C78" s="44"/>
      <c r="D78" s="44"/>
      <c r="E78" s="1018"/>
      <c r="F78" s="474"/>
      <c r="G78" s="474"/>
      <c r="H78" s="475"/>
      <c r="I78" s="475"/>
      <c r="J78" s="476"/>
      <c r="K78" s="500"/>
      <c r="L78" s="474"/>
      <c r="M78" s="474"/>
      <c r="N78" s="474"/>
      <c r="O78" s="474"/>
      <c r="P78" s="477"/>
      <c r="Q78" s="940"/>
      <c r="R78" s="474"/>
      <c r="S78" s="474"/>
      <c r="T78" s="474"/>
      <c r="U78" s="940"/>
      <c r="V78" s="474"/>
      <c r="W78" s="474"/>
      <c r="X78" s="474"/>
      <c r="Y78" s="474"/>
      <c r="Z78" s="50"/>
      <c r="AA78" s="29"/>
    </row>
    <row r="79" spans="1:27" s="39" customFormat="1" ht="33" customHeight="1" x14ac:dyDescent="0.25">
      <c r="A79" s="41" t="s">
        <v>136</v>
      </c>
      <c r="B79" s="592" t="s">
        <v>414</v>
      </c>
      <c r="E79" s="1017"/>
      <c r="F79" s="467"/>
      <c r="G79" s="467"/>
      <c r="H79" s="1011"/>
      <c r="I79" s="1011"/>
      <c r="J79" s="1012"/>
      <c r="K79" s="467"/>
      <c r="L79" s="467"/>
      <c r="M79" s="467"/>
      <c r="N79" s="467"/>
      <c r="O79" s="467"/>
      <c r="P79" s="462"/>
      <c r="Q79" s="940"/>
      <c r="R79" s="467"/>
      <c r="S79" s="467"/>
      <c r="T79" s="467"/>
      <c r="U79" s="940"/>
      <c r="V79" s="467"/>
      <c r="W79" s="467"/>
      <c r="X79" s="467"/>
      <c r="Y79" s="467"/>
      <c r="Z79" s="38"/>
      <c r="AA79" s="29"/>
    </row>
    <row r="80" spans="1:27" s="39" customFormat="1" ht="15" customHeight="1" x14ac:dyDescent="0.25">
      <c r="A80" s="41"/>
      <c r="B80" s="592"/>
      <c r="C80" s="462" t="s">
        <v>1055</v>
      </c>
      <c r="D80" s="462" t="s">
        <v>1060</v>
      </c>
      <c r="E80" s="1019">
        <f>SUM(F80:AA80)</f>
        <v>800</v>
      </c>
      <c r="F80" s="1594"/>
      <c r="G80" s="1594"/>
      <c r="H80" s="1595"/>
      <c r="I80" s="1595"/>
      <c r="J80" s="1594">
        <f>+'Lijst maatregelen EA'!F90</f>
        <v>800</v>
      </c>
      <c r="K80" s="467"/>
      <c r="L80" s="471"/>
      <c r="M80" s="467"/>
      <c r="N80" s="467"/>
      <c r="O80" s="467"/>
      <c r="P80" s="462"/>
      <c r="Q80" s="940"/>
      <c r="R80" s="467"/>
      <c r="S80" s="467"/>
      <c r="T80" s="467"/>
      <c r="U80" s="940"/>
      <c r="V80" s="467"/>
      <c r="W80" s="467"/>
      <c r="X80" s="467"/>
      <c r="Y80" s="467"/>
      <c r="Z80" s="38"/>
      <c r="AA80" s="29"/>
    </row>
    <row r="81" spans="1:27" s="39" customFormat="1" ht="15" customHeight="1" x14ac:dyDescent="0.25">
      <c r="A81" s="43"/>
      <c r="B81" s="593"/>
      <c r="C81" s="415"/>
      <c r="D81" s="415"/>
      <c r="E81" s="1018"/>
      <c r="F81" s="474"/>
      <c r="G81" s="474"/>
      <c r="H81" s="475"/>
      <c r="I81" s="475"/>
      <c r="J81" s="476"/>
      <c r="K81" s="474"/>
      <c r="L81" s="500"/>
      <c r="M81" s="474"/>
      <c r="N81" s="474"/>
      <c r="O81" s="474"/>
      <c r="P81" s="477"/>
      <c r="Q81" s="940"/>
      <c r="R81" s="474"/>
      <c r="S81" s="474"/>
      <c r="T81" s="474"/>
      <c r="U81" s="940"/>
      <c r="V81" s="474"/>
      <c r="W81" s="474"/>
      <c r="X81" s="474"/>
      <c r="Y81" s="474"/>
      <c r="Z81" s="50"/>
      <c r="AA81" s="32"/>
    </row>
    <row r="82" spans="1:27" s="39" customFormat="1" ht="48.75" customHeight="1" x14ac:dyDescent="0.25">
      <c r="A82" s="41"/>
      <c r="B82" s="592" t="s">
        <v>137</v>
      </c>
      <c r="E82" s="1017">
        <f>SUM(F82:AA82)</f>
        <v>278.24700000000001</v>
      </c>
      <c r="F82" s="467"/>
      <c r="G82" s="467"/>
      <c r="H82" s="1011"/>
      <c r="I82" s="1011"/>
      <c r="J82" s="467">
        <f>+'Lijst maatregelen EA'!F94</f>
        <v>278.24700000000001</v>
      </c>
      <c r="K82" s="467"/>
      <c r="L82" s="472"/>
      <c r="M82" s="467"/>
      <c r="N82" s="467"/>
      <c r="O82" s="467"/>
      <c r="P82" s="462"/>
      <c r="Q82" s="940"/>
      <c r="R82" s="467"/>
      <c r="S82" s="467"/>
      <c r="T82" s="467"/>
      <c r="U82" s="940"/>
      <c r="V82" s="467"/>
      <c r="W82" s="467"/>
      <c r="X82" s="467"/>
      <c r="Y82" s="467"/>
      <c r="Z82" s="38"/>
      <c r="AA82" s="29"/>
    </row>
    <row r="83" spans="1:27" s="111" customFormat="1" ht="15" customHeight="1" x14ac:dyDescent="0.25">
      <c r="A83" s="1045"/>
      <c r="B83" s="599"/>
      <c r="E83" s="1046"/>
      <c r="F83" s="426"/>
      <c r="G83" s="426"/>
      <c r="H83" s="426"/>
      <c r="I83" s="426"/>
      <c r="J83" s="426"/>
      <c r="K83" s="426"/>
      <c r="L83" s="426"/>
      <c r="M83" s="426"/>
      <c r="N83" s="426"/>
      <c r="O83" s="426"/>
      <c r="P83" s="430"/>
      <c r="Q83" s="940"/>
      <c r="R83" s="426"/>
      <c r="S83" s="426"/>
      <c r="T83" s="426"/>
      <c r="U83" s="940"/>
      <c r="V83" s="426"/>
      <c r="W83" s="426"/>
      <c r="X83" s="426"/>
      <c r="Y83" s="426"/>
      <c r="Z83" s="29"/>
      <c r="AA83" s="759"/>
    </row>
    <row r="84" spans="1:27" s="111" customFormat="1" ht="15" customHeight="1" x14ac:dyDescent="0.25">
      <c r="A84" s="1048"/>
      <c r="B84" s="1049"/>
      <c r="C84" s="1050"/>
      <c r="D84" s="1051" t="s">
        <v>16</v>
      </c>
      <c r="E84" s="1047">
        <f>SUM(E3:E82)</f>
        <v>107229.90126097237</v>
      </c>
      <c r="F84" s="1052"/>
      <c r="G84" s="1052"/>
      <c r="H84" s="1053"/>
      <c r="I84" s="1053"/>
      <c r="J84" s="1054"/>
      <c r="K84" s="1052"/>
      <c r="L84" s="1052"/>
      <c r="M84" s="1052"/>
      <c r="N84" s="1052"/>
      <c r="O84" s="1052"/>
      <c r="P84" s="1052"/>
      <c r="Q84" s="940"/>
      <c r="R84" s="1052"/>
      <c r="S84" s="1052"/>
      <c r="T84" s="1052"/>
      <c r="U84" s="940"/>
      <c r="V84" s="1052"/>
      <c r="W84" s="1052"/>
      <c r="X84" s="1052"/>
      <c r="Y84" s="1052"/>
      <c r="Z84" s="1055"/>
      <c r="AA84" s="29"/>
    </row>
    <row r="85" spans="1:27" s="39" customFormat="1" ht="15" customHeight="1" x14ac:dyDescent="0.25">
      <c r="B85" s="51"/>
      <c r="C85" s="52" t="s">
        <v>141</v>
      </c>
      <c r="D85" s="52">
        <f>+'Lijst maatregelen EA'!F103-E84</f>
        <v>0</v>
      </c>
      <c r="E85" s="1022"/>
      <c r="F85" s="414"/>
      <c r="G85" s="414"/>
      <c r="H85" s="437"/>
      <c r="I85" s="437"/>
      <c r="J85" s="438"/>
      <c r="K85" s="414"/>
      <c r="L85" s="414"/>
      <c r="M85" s="414"/>
      <c r="N85" s="414"/>
      <c r="O85" s="414"/>
      <c r="P85" s="430"/>
      <c r="Q85" s="940"/>
      <c r="R85" s="414"/>
      <c r="S85" s="414"/>
      <c r="T85" s="414"/>
      <c r="U85" s="940"/>
      <c r="V85" s="414"/>
      <c r="W85" s="414"/>
      <c r="X85" s="414"/>
      <c r="Y85" s="414"/>
      <c r="Z85" s="53"/>
      <c r="AA85" s="33"/>
    </row>
    <row r="86" spans="1:27" s="42" customFormat="1" ht="15" customHeight="1" x14ac:dyDescent="0.25">
      <c r="B86" s="592"/>
      <c r="D86" s="447" t="s">
        <v>814</v>
      </c>
      <c r="E86" s="1023">
        <f>SUM(F86:AA86)</f>
        <v>13701.145</v>
      </c>
      <c r="F86" s="1005">
        <f>SUM(F3:F83)</f>
        <v>13701.145</v>
      </c>
      <c r="G86" s="1010"/>
      <c r="H86" s="442"/>
      <c r="I86" s="440"/>
      <c r="J86" s="443"/>
      <c r="K86" s="440"/>
      <c r="L86" s="440"/>
      <c r="M86" s="440"/>
      <c r="N86" s="440"/>
      <c r="O86" s="440"/>
      <c r="P86" s="419"/>
      <c r="Q86" s="940"/>
      <c r="R86" s="440"/>
      <c r="S86" s="440"/>
      <c r="T86" s="414"/>
      <c r="U86" s="940"/>
      <c r="V86" s="440"/>
      <c r="W86" s="440"/>
      <c r="X86" s="440"/>
      <c r="Y86" s="414"/>
      <c r="Z86" s="53"/>
      <c r="AA86" s="33"/>
    </row>
    <row r="87" spans="1:27" s="42" customFormat="1" ht="15" customHeight="1" x14ac:dyDescent="0.25">
      <c r="B87" s="592"/>
      <c r="D87" s="447" t="s">
        <v>815</v>
      </c>
      <c r="E87" s="1023">
        <f>SUM(F87:AA87)</f>
        <v>1798.855</v>
      </c>
      <c r="F87" s="1006"/>
      <c r="G87" s="439">
        <f>SUM(G3:G83)</f>
        <v>1798.855</v>
      </c>
      <c r="H87" s="442"/>
      <c r="J87" s="439"/>
      <c r="K87" s="440"/>
      <c r="L87" s="440"/>
      <c r="M87" s="440"/>
      <c r="N87" s="440"/>
      <c r="O87" s="440"/>
      <c r="P87" s="419"/>
      <c r="Q87" s="940"/>
      <c r="R87" s="440"/>
      <c r="S87" s="440"/>
      <c r="T87" s="414"/>
      <c r="U87" s="940"/>
      <c r="V87" s="440"/>
      <c r="W87" s="440"/>
      <c r="X87" s="440"/>
      <c r="Y87" s="414"/>
      <c r="Z87" s="53"/>
      <c r="AA87" s="31"/>
    </row>
    <row r="88" spans="1:27" s="42" customFormat="1" ht="15" customHeight="1" x14ac:dyDescent="0.25">
      <c r="B88" s="592"/>
      <c r="C88" s="115"/>
      <c r="D88" s="446" t="s">
        <v>962</v>
      </c>
      <c r="E88" s="1023">
        <f>SUM(F88:AA88)</f>
        <v>8049.5438888888893</v>
      </c>
      <c r="G88" s="439"/>
      <c r="H88" s="439">
        <f>SUM(H3:H83)</f>
        <v>8049.5438888888893</v>
      </c>
      <c r="I88" s="440"/>
      <c r="J88" s="440"/>
      <c r="K88" s="439"/>
      <c r="L88" s="441"/>
      <c r="M88" s="441"/>
      <c r="N88" s="441"/>
      <c r="O88" s="441"/>
      <c r="P88" s="419"/>
      <c r="Q88" s="940"/>
      <c r="R88" s="465"/>
      <c r="S88" s="465"/>
      <c r="T88" s="414"/>
      <c r="U88" s="940"/>
      <c r="V88" s="465"/>
      <c r="W88" s="465"/>
      <c r="X88" s="465"/>
      <c r="Y88" s="414"/>
      <c r="Z88" s="53"/>
      <c r="AA88" s="33"/>
    </row>
    <row r="89" spans="1:27" s="42" customFormat="1" ht="15" customHeight="1" x14ac:dyDescent="0.25">
      <c r="A89" s="36"/>
      <c r="B89" s="592"/>
      <c r="C89" s="56"/>
      <c r="D89" s="447" t="s">
        <v>963</v>
      </c>
      <c r="E89" s="1023">
        <f>SUM(F89:AA89)</f>
        <v>25408.813888888886</v>
      </c>
      <c r="F89" s="1005"/>
      <c r="G89" s="439"/>
      <c r="H89" s="1010"/>
      <c r="I89" s="439">
        <f>SUM(I3:I83)</f>
        <v>25408.813888888886</v>
      </c>
      <c r="J89" s="440"/>
      <c r="K89" s="439"/>
      <c r="L89" s="441"/>
      <c r="M89" s="441"/>
      <c r="N89" s="441"/>
      <c r="O89" s="441"/>
      <c r="P89" s="419"/>
      <c r="Q89" s="940"/>
      <c r="R89" s="465"/>
      <c r="S89" s="465"/>
      <c r="T89" s="414"/>
      <c r="U89" s="940"/>
      <c r="V89" s="465"/>
      <c r="W89" s="465"/>
      <c r="X89" s="465"/>
      <c r="Y89" s="414"/>
      <c r="Z89" s="53"/>
      <c r="AA89" s="31"/>
    </row>
    <row r="90" spans="1:27" s="42" customFormat="1" ht="15" customHeight="1" x14ac:dyDescent="0.25">
      <c r="A90" s="36"/>
      <c r="B90" s="592"/>
      <c r="D90" s="447" t="s">
        <v>805</v>
      </c>
      <c r="E90" s="1023">
        <f>SUM(F90:AA90)</f>
        <v>58271.543483194589</v>
      </c>
      <c r="F90" s="1056"/>
      <c r="G90" s="1057"/>
      <c r="H90" s="1057"/>
      <c r="I90" s="1057"/>
      <c r="J90" s="1058">
        <f t="shared" ref="J90:O90" si="1">SUM(J3:J83)</f>
        <v>9475.598</v>
      </c>
      <c r="K90" s="1058">
        <f t="shared" si="1"/>
        <v>10.226000000000001</v>
      </c>
      <c r="L90" s="1058">
        <f t="shared" si="1"/>
        <v>2700</v>
      </c>
      <c r="M90" s="1058">
        <f t="shared" si="1"/>
        <v>150</v>
      </c>
      <c r="N90" s="1058">
        <f t="shared" si="1"/>
        <v>17921.002442458903</v>
      </c>
      <c r="O90" s="1058">
        <f t="shared" si="1"/>
        <v>6242.7425557466513</v>
      </c>
      <c r="P90" s="419"/>
      <c r="Q90" s="940"/>
      <c r="R90" s="1058">
        <f>SUM(R3:R83)</f>
        <v>3000</v>
      </c>
      <c r="S90" s="1058">
        <f>SUM(S3:S83)</f>
        <v>2618.8649037390351</v>
      </c>
      <c r="T90" s="414"/>
      <c r="U90" s="940"/>
      <c r="V90" s="1058">
        <f>SUM(V3:V83)</f>
        <v>0</v>
      </c>
      <c r="W90" s="1058">
        <f>SUM(W3:W83)</f>
        <v>2500</v>
      </c>
      <c r="X90" s="1058">
        <f>SUM(X3:X83)</f>
        <v>13653.109581249999</v>
      </c>
      <c r="Y90" s="414"/>
      <c r="Z90" s="53"/>
      <c r="AA90" s="33"/>
    </row>
    <row r="91" spans="1:27" s="42" customFormat="1" ht="15" customHeight="1" x14ac:dyDescent="0.25">
      <c r="A91" s="1059"/>
      <c r="B91" s="1060"/>
      <c r="C91" s="1061"/>
      <c r="D91" s="1062" t="s">
        <v>16</v>
      </c>
      <c r="E91" s="1047">
        <f>SUM(E86:E90)</f>
        <v>107229.90126097237</v>
      </c>
      <c r="F91" s="920">
        <f>SUM(F86:F90)</f>
        <v>13701.145</v>
      </c>
      <c r="G91" s="920">
        <f t="shared" ref="G91:O91" si="2">SUM(G86:G90)</f>
        <v>1798.855</v>
      </c>
      <c r="H91" s="920">
        <f t="shared" si="2"/>
        <v>8049.5438888888893</v>
      </c>
      <c r="I91" s="920">
        <f t="shared" si="2"/>
        <v>25408.813888888886</v>
      </c>
      <c r="J91" s="920">
        <f t="shared" si="2"/>
        <v>9475.598</v>
      </c>
      <c r="K91" s="920">
        <f>SUM(K86:K90)</f>
        <v>10.226000000000001</v>
      </c>
      <c r="L91" s="920">
        <f t="shared" si="2"/>
        <v>2700</v>
      </c>
      <c r="M91" s="920">
        <f t="shared" si="2"/>
        <v>150</v>
      </c>
      <c r="N91" s="920">
        <f t="shared" si="2"/>
        <v>17921.002442458903</v>
      </c>
      <c r="O91" s="1043">
        <f t="shared" si="2"/>
        <v>6242.7425557466513</v>
      </c>
      <c r="P91" s="1063"/>
      <c r="Q91" s="940"/>
      <c r="R91" s="920">
        <f>SUM(R86:R90)</f>
        <v>3000</v>
      </c>
      <c r="S91" s="1043">
        <f>SUM(S86:S90)</f>
        <v>2618.8649037390351</v>
      </c>
      <c r="T91" s="1044"/>
      <c r="U91" s="940"/>
      <c r="V91" s="920">
        <f>SUM(V86:V90)</f>
        <v>0</v>
      </c>
      <c r="W91" s="920">
        <f>SUM(W86:W90)</f>
        <v>2500</v>
      </c>
      <c r="X91" s="1043">
        <f>SUM(X86:X90)</f>
        <v>13653.109581249999</v>
      </c>
      <c r="Y91" s="1044"/>
      <c r="Z91" s="1064"/>
      <c r="AA91" s="33"/>
    </row>
    <row r="92" spans="1:27" ht="15" customHeight="1" x14ac:dyDescent="0.25">
      <c r="D92" s="435"/>
      <c r="E92" s="1024"/>
      <c r="F92" s="418"/>
      <c r="G92" s="417"/>
      <c r="H92" s="417"/>
      <c r="I92" s="417"/>
      <c r="J92" s="417"/>
      <c r="K92" s="417"/>
      <c r="L92" s="417"/>
      <c r="M92" s="417"/>
      <c r="N92" s="417"/>
      <c r="O92" s="417"/>
      <c r="P92" s="416"/>
      <c r="Q92" s="940"/>
      <c r="R92" s="418"/>
      <c r="S92" s="417"/>
      <c r="T92" s="417"/>
      <c r="U92" s="940"/>
      <c r="V92" s="418"/>
      <c r="W92" s="418"/>
      <c r="X92" s="418"/>
      <c r="Y92" s="414"/>
      <c r="Z92" s="53"/>
      <c r="AA92" s="31"/>
    </row>
    <row r="93" spans="1:27" s="42" customFormat="1" ht="15" customHeight="1" x14ac:dyDescent="0.25">
      <c r="A93" s="36"/>
      <c r="B93" s="592"/>
      <c r="D93" s="449" t="s">
        <v>964</v>
      </c>
      <c r="E93" s="1023">
        <f>SUM(E86:E89)+R91</f>
        <v>51958.357777777775</v>
      </c>
      <c r="F93" s="421"/>
      <c r="G93" s="421"/>
      <c r="H93" s="419"/>
      <c r="I93" s="419"/>
      <c r="J93" s="419"/>
      <c r="K93" s="419"/>
      <c r="L93" s="419"/>
      <c r="M93" s="419"/>
      <c r="N93" s="419"/>
      <c r="O93" s="419"/>
      <c r="P93" s="419"/>
      <c r="Q93" s="940"/>
      <c r="R93" s="421"/>
      <c r="S93" s="421"/>
      <c r="T93" s="421"/>
      <c r="U93" s="940"/>
      <c r="V93" s="421"/>
      <c r="W93" s="421"/>
      <c r="X93" s="421"/>
      <c r="Y93" s="421"/>
      <c r="Z93" s="53"/>
      <c r="AA93" s="33"/>
    </row>
    <row r="94" spans="1:27" s="42" customFormat="1" ht="15" customHeight="1" x14ac:dyDescent="0.25">
      <c r="A94" s="36"/>
      <c r="B94" s="592"/>
      <c r="D94" s="449" t="s">
        <v>198</v>
      </c>
      <c r="E94" s="1023">
        <f>+E91-E93</f>
        <v>55271.543483194597</v>
      </c>
      <c r="F94" s="422"/>
      <c r="G94" s="423"/>
      <c r="H94" s="83"/>
      <c r="I94" s="83"/>
      <c r="J94" s="423"/>
      <c r="K94" s="419"/>
      <c r="L94" s="419"/>
      <c r="M94" s="419"/>
      <c r="N94" s="419"/>
      <c r="O94" s="419"/>
      <c r="P94" s="419"/>
      <c r="Q94" s="940"/>
      <c r="R94" s="421"/>
      <c r="S94" s="421"/>
      <c r="T94" s="421"/>
      <c r="U94" s="940"/>
      <c r="V94" s="421"/>
      <c r="W94" s="421"/>
      <c r="X94" s="421"/>
      <c r="Y94" s="421"/>
      <c r="Z94" s="53"/>
      <c r="AA94" s="31"/>
    </row>
    <row r="95" spans="1:27" ht="15" customHeight="1" x14ac:dyDescent="0.25">
      <c r="D95" s="448"/>
      <c r="E95" s="1024"/>
      <c r="F95" s="418"/>
      <c r="G95" s="417"/>
      <c r="H95" s="417"/>
      <c r="I95" s="417"/>
      <c r="J95" s="417"/>
      <c r="K95" s="417"/>
      <c r="L95" s="417"/>
      <c r="M95" s="417"/>
      <c r="N95" s="417"/>
      <c r="O95" s="417"/>
      <c r="P95" s="416"/>
      <c r="Q95" s="940"/>
      <c r="R95" s="418"/>
      <c r="S95" s="417"/>
      <c r="T95" s="417"/>
      <c r="U95" s="940"/>
      <c r="V95" s="418"/>
      <c r="W95" s="418"/>
      <c r="X95" s="418"/>
      <c r="Y95" s="418"/>
      <c r="AA95" s="33"/>
    </row>
    <row r="96" spans="1:27" s="42" customFormat="1" ht="15.75" x14ac:dyDescent="0.25">
      <c r="A96" s="36"/>
      <c r="B96" s="592"/>
      <c r="C96" s="56"/>
      <c r="D96" s="1141" t="s">
        <v>965</v>
      </c>
      <c r="E96" s="1026">
        <f>+Resultaatgrafiek!W19</f>
        <v>0</v>
      </c>
      <c r="F96" s="420"/>
      <c r="G96" s="420"/>
      <c r="H96" s="420"/>
      <c r="I96" s="420"/>
      <c r="J96" s="420"/>
      <c r="K96" s="420"/>
      <c r="L96" s="420"/>
      <c r="M96" s="420"/>
      <c r="N96" s="420"/>
      <c r="O96" s="420"/>
      <c r="P96" s="422"/>
      <c r="Q96" s="940"/>
      <c r="R96" s="424"/>
      <c r="S96" s="424"/>
      <c r="T96" s="424"/>
      <c r="U96" s="940"/>
      <c r="V96" s="424"/>
      <c r="W96" s="424"/>
      <c r="X96" s="424"/>
      <c r="Y96" s="424"/>
      <c r="Z96" s="53"/>
      <c r="AA96" s="31"/>
    </row>
    <row r="97" spans="1:27" s="42" customFormat="1" ht="32.25" customHeight="1" x14ac:dyDescent="0.25">
      <c r="A97" s="36"/>
      <c r="B97" s="592"/>
      <c r="D97" s="1141" t="s">
        <v>1059</v>
      </c>
      <c r="E97" s="1043">
        <f>SUM(F97:AA97)</f>
        <v>30808.744472370909</v>
      </c>
      <c r="F97" s="920">
        <f>+F91</f>
        <v>13701.145</v>
      </c>
      <c r="G97" s="920">
        <f>+G91</f>
        <v>1798.855</v>
      </c>
      <c r="H97" s="920" t="s">
        <v>966</v>
      </c>
      <c r="I97" s="920"/>
      <c r="J97" s="920">
        <f>+Vervoer!G28+J64+J80+J82</f>
        <v>8013.9270000000006</v>
      </c>
      <c r="K97" s="920">
        <f>+K91</f>
        <v>10.226000000000001</v>
      </c>
      <c r="L97" s="920">
        <f>+Energiebesparing!B92*5</f>
        <v>750</v>
      </c>
      <c r="M97" s="920">
        <f>+M91</f>
        <v>150</v>
      </c>
      <c r="N97" s="920">
        <f>+' PV'!N112+Energiebesparing!G47</f>
        <v>2540.164664539805</v>
      </c>
      <c r="O97" s="920">
        <f>+Vervoer!N89</f>
        <v>844.42680783110291</v>
      </c>
      <c r="P97" s="1063"/>
      <c r="Q97" s="940"/>
      <c r="R97" s="920">
        <f>+R91</f>
        <v>3000</v>
      </c>
      <c r="S97" s="1043">
        <f>SUM(S92:S96)</f>
        <v>0</v>
      </c>
      <c r="T97" s="1044"/>
      <c r="U97" s="940"/>
      <c r="V97" s="920">
        <f>SUM(V92:V96)</f>
        <v>0</v>
      </c>
      <c r="W97" s="920">
        <f>SUM(W92:W96)</f>
        <v>0</v>
      </c>
      <c r="X97" s="1043">
        <f>SUM(X92:X96)</f>
        <v>0</v>
      </c>
      <c r="Y97" s="1044"/>
      <c r="Z97" s="1064"/>
      <c r="AA97" s="33"/>
    </row>
    <row r="98" spans="1:27" s="42" customFormat="1" ht="20.25" customHeight="1" x14ac:dyDescent="0.25">
      <c r="A98" s="36"/>
      <c r="B98" s="592"/>
      <c r="C98" s="1075"/>
      <c r="D98" s="1078" t="s">
        <v>971</v>
      </c>
      <c r="E98" s="1043">
        <f>+K106</f>
        <v>28233.395</v>
      </c>
      <c r="F98" s="428"/>
      <c r="G98" s="428"/>
      <c r="H98" s="428"/>
      <c r="I98" s="428"/>
      <c r="J98" s="428"/>
      <c r="K98" s="428"/>
      <c r="L98" s="428"/>
      <c r="M98" s="428"/>
      <c r="N98" s="428"/>
      <c r="O98" s="428"/>
      <c r="P98" s="419"/>
      <c r="Q98" s="940"/>
      <c r="R98" s="428"/>
      <c r="S98" s="428"/>
      <c r="T98" s="414"/>
      <c r="U98" s="940"/>
      <c r="V98" s="428"/>
      <c r="W98" s="428"/>
      <c r="X98" s="428"/>
      <c r="Y98" s="414"/>
      <c r="Z98" s="53"/>
      <c r="AA98" s="33"/>
    </row>
    <row r="99" spans="1:27" s="42" customFormat="1" ht="20.25" customHeight="1" x14ac:dyDescent="0.25">
      <c r="A99" s="36"/>
      <c r="B99" s="592"/>
      <c r="C99" s="1075"/>
      <c r="D99" s="1078" t="s">
        <v>967</v>
      </c>
      <c r="E99" s="1079">
        <f>+Uitgangspunten!B53</f>
        <v>0.7</v>
      </c>
      <c r="F99" s="1076"/>
      <c r="G99" s="428"/>
      <c r="J99" s="430" t="s">
        <v>819</v>
      </c>
      <c r="K99" s="1065"/>
      <c r="L99" s="419"/>
      <c r="M99" s="419"/>
      <c r="N99" s="428"/>
      <c r="O99" s="428"/>
      <c r="P99" s="419"/>
      <c r="Q99" s="940"/>
      <c r="R99" s="428"/>
      <c r="S99" s="428"/>
      <c r="T99" s="414"/>
      <c r="U99" s="940"/>
      <c r="V99" s="428"/>
      <c r="W99" s="428"/>
      <c r="X99" s="428"/>
      <c r="Y99" s="414"/>
      <c r="Z99" s="53"/>
      <c r="AA99" s="33"/>
    </row>
    <row r="100" spans="1:27" s="42" customFormat="1" ht="20.25" customHeight="1" x14ac:dyDescent="0.25">
      <c r="A100" s="36"/>
      <c r="B100" s="592"/>
      <c r="C100" s="1075"/>
      <c r="D100" s="145" t="s">
        <v>968</v>
      </c>
      <c r="E100" s="1043">
        <f>+E99*E98</f>
        <v>19763.376499999998</v>
      </c>
      <c r="F100" s="428"/>
      <c r="G100" s="428"/>
      <c r="H100" s="49"/>
      <c r="I100" s="49"/>
      <c r="J100" s="430">
        <v>2012</v>
      </c>
      <c r="K100" s="1065">
        <v>1700</v>
      </c>
      <c r="L100" s="425"/>
      <c r="M100" s="425"/>
      <c r="N100" s="428"/>
      <c r="O100" s="428"/>
      <c r="P100" s="419"/>
      <c r="Q100" s="940"/>
      <c r="R100" s="428"/>
      <c r="S100" s="428"/>
      <c r="T100" s="414"/>
      <c r="U100" s="940"/>
      <c r="V100" s="428"/>
      <c r="W100" s="428"/>
      <c r="X100" s="428"/>
      <c r="Y100" s="414"/>
      <c r="Z100" s="53"/>
      <c r="AA100" s="33"/>
    </row>
    <row r="101" spans="1:27" s="42" customFormat="1" ht="15.75" x14ac:dyDescent="0.25">
      <c r="A101" s="36"/>
      <c r="B101" s="592"/>
      <c r="C101" s="1760" t="s">
        <v>969</v>
      </c>
      <c r="D101" s="1760"/>
      <c r="E101" s="1021">
        <f>+E97+E100</f>
        <v>50572.120972370903</v>
      </c>
      <c r="F101" s="428"/>
      <c r="G101" s="428"/>
      <c r="J101" s="430">
        <v>2013</v>
      </c>
      <c r="K101" s="1065">
        <v>3000</v>
      </c>
      <c r="L101" s="424"/>
      <c r="M101" s="424"/>
      <c r="N101" s="428"/>
      <c r="O101" s="428"/>
      <c r="P101" s="419"/>
      <c r="Q101" s="940"/>
      <c r="R101" s="428"/>
      <c r="S101" s="428"/>
      <c r="T101" s="414"/>
      <c r="U101" s="940"/>
      <c r="V101" s="428"/>
      <c r="W101" s="428"/>
      <c r="X101" s="428"/>
      <c r="Y101" s="414"/>
      <c r="Z101" s="53"/>
      <c r="AA101" s="33"/>
    </row>
    <row r="102" spans="1:27" s="42" customFormat="1" ht="15" customHeight="1" x14ac:dyDescent="0.25">
      <c r="A102" s="36"/>
      <c r="B102" s="592"/>
      <c r="D102" s="1128" t="s">
        <v>1070</v>
      </c>
      <c r="E102" s="1047">
        <f>+E91-E101</f>
        <v>56657.780288601469</v>
      </c>
      <c r="F102" s="424"/>
      <c r="H102" s="419"/>
      <c r="I102" s="422"/>
      <c r="J102" s="430">
        <v>2014</v>
      </c>
      <c r="K102" s="1065">
        <v>3500</v>
      </c>
      <c r="L102" s="421"/>
      <c r="M102" s="421"/>
      <c r="N102" s="422"/>
      <c r="O102" s="422"/>
      <c r="P102" s="422"/>
      <c r="Q102" s="940"/>
      <c r="R102" s="424"/>
      <c r="S102" s="424"/>
      <c r="T102" s="421"/>
      <c r="U102" s="940"/>
      <c r="V102" s="421"/>
      <c r="W102" s="421"/>
      <c r="X102" s="421"/>
      <c r="Y102" s="421"/>
      <c r="Z102" s="53"/>
      <c r="AA102" s="31"/>
    </row>
    <row r="103" spans="1:27" s="42" customFormat="1" ht="15" customHeight="1" x14ac:dyDescent="0.25">
      <c r="A103" s="36"/>
      <c r="B103" s="592"/>
      <c r="D103" s="434"/>
      <c r="E103" s="1023"/>
      <c r="F103" s="424"/>
      <c r="H103" s="419"/>
      <c r="I103" s="425"/>
      <c r="J103" s="413">
        <v>2015</v>
      </c>
      <c r="K103" s="1065">
        <v>3500</v>
      </c>
      <c r="L103" s="421"/>
      <c r="M103" s="421"/>
      <c r="N103" s="419"/>
      <c r="O103" s="419"/>
      <c r="P103" s="419"/>
      <c r="Q103" s="940"/>
      <c r="R103" s="421"/>
      <c r="S103" s="421"/>
      <c r="T103" s="421"/>
      <c r="U103" s="940"/>
      <c r="V103" s="421"/>
      <c r="W103" s="421"/>
      <c r="X103" s="421"/>
      <c r="Y103" s="421"/>
      <c r="Z103" s="53"/>
      <c r="AA103" s="33"/>
    </row>
    <row r="104" spans="1:27" s="49" customFormat="1" ht="15" customHeight="1" x14ac:dyDescent="0.25">
      <c r="A104" s="32"/>
      <c r="B104" s="598"/>
      <c r="D104" s="436" t="s">
        <v>289</v>
      </c>
      <c r="E104" s="1025"/>
      <c r="F104" s="425"/>
      <c r="H104" s="419"/>
      <c r="I104" s="424"/>
      <c r="J104" s="413">
        <v>2016</v>
      </c>
      <c r="K104" s="1065">
        <v>8000</v>
      </c>
      <c r="L104" s="421"/>
      <c r="M104" s="421"/>
      <c r="N104" s="425"/>
      <c r="O104" s="425"/>
      <c r="P104" s="418"/>
      <c r="Q104" s="940"/>
      <c r="R104" s="426"/>
      <c r="S104" s="426"/>
      <c r="T104" s="426"/>
      <c r="U104" s="940"/>
      <c r="V104" s="414"/>
      <c r="W104" s="414"/>
      <c r="X104" s="414"/>
      <c r="Y104" s="414"/>
      <c r="Z104" s="38"/>
      <c r="AA104" s="31"/>
    </row>
    <row r="105" spans="1:27" s="42" customFormat="1" ht="15" customHeight="1" x14ac:dyDescent="0.25">
      <c r="A105" s="36"/>
      <c r="B105" s="592"/>
      <c r="D105" s="446" t="s">
        <v>288</v>
      </c>
      <c r="E105" s="1026">
        <f>+Resultaatgrafiek!W24</f>
        <v>0</v>
      </c>
      <c r="F105" s="424"/>
      <c r="H105" s="419"/>
      <c r="I105" s="424"/>
      <c r="J105" s="1142" t="s">
        <v>970</v>
      </c>
      <c r="K105" s="1066">
        <f>+Wind!C102+Wind!E102+Wind!G102+Wind!I102</f>
        <v>8533.3950000000004</v>
      </c>
      <c r="M105" s="421"/>
      <c r="N105" s="424"/>
      <c r="O105" s="421"/>
      <c r="P105" s="419"/>
      <c r="Q105" s="940"/>
      <c r="R105" s="421"/>
      <c r="S105" s="421"/>
      <c r="T105" s="421"/>
      <c r="U105" s="940"/>
      <c r="V105" s="421"/>
      <c r="W105" s="421"/>
      <c r="X105" s="421"/>
      <c r="Y105" s="421"/>
      <c r="Z105" s="53"/>
      <c r="AA105" s="33"/>
    </row>
    <row r="106" spans="1:27" s="42" customFormat="1" ht="15" customHeight="1" x14ac:dyDescent="0.25">
      <c r="A106" s="36"/>
      <c r="B106" s="592"/>
      <c r="D106" s="446" t="s">
        <v>1139</v>
      </c>
      <c r="E106" s="1026">
        <f>+Resultaatgrafiek!W39</f>
        <v>0</v>
      </c>
      <c r="F106" s="421"/>
      <c r="G106" s="421"/>
      <c r="H106" s="427"/>
      <c r="I106" s="427"/>
      <c r="J106" s="427" t="s">
        <v>8</v>
      </c>
      <c r="K106" s="1066">
        <f>SUM(K100:K105)</f>
        <v>28233.395</v>
      </c>
      <c r="L106" s="56"/>
      <c r="M106" s="424"/>
      <c r="N106" s="421"/>
      <c r="O106" s="421"/>
      <c r="P106" s="419"/>
      <c r="Q106" s="940"/>
      <c r="R106" s="421"/>
      <c r="S106" s="421"/>
      <c r="T106" s="421"/>
      <c r="U106" s="940"/>
      <c r="V106" s="421"/>
      <c r="W106" s="421"/>
      <c r="X106" s="421"/>
      <c r="Y106" s="421"/>
      <c r="Z106" s="53"/>
      <c r="AA106" s="31"/>
    </row>
    <row r="107" spans="1:27" s="42" customFormat="1" ht="15.75" x14ac:dyDescent="0.25">
      <c r="A107" s="36"/>
      <c r="B107" s="592"/>
      <c r="C107" s="1101"/>
      <c r="D107" s="1101"/>
      <c r="E107" s="1026"/>
      <c r="F107" s="421"/>
      <c r="G107" s="421"/>
      <c r="N107" s="421"/>
      <c r="O107" s="421"/>
      <c r="P107" s="419"/>
      <c r="Q107" s="940"/>
      <c r="R107" s="421"/>
      <c r="S107" s="421"/>
      <c r="T107" s="421"/>
      <c r="U107" s="940"/>
      <c r="V107" s="421"/>
      <c r="W107" s="421"/>
      <c r="X107" s="421"/>
      <c r="Y107" s="421"/>
      <c r="Z107" s="53"/>
      <c r="AA107" s="33"/>
    </row>
    <row r="108" spans="1:27" s="42" customFormat="1" ht="31.5" x14ac:dyDescent="0.25">
      <c r="A108" s="36"/>
      <c r="B108" s="592"/>
      <c r="D108" s="39"/>
      <c r="E108" s="1027" t="s">
        <v>499</v>
      </c>
      <c r="F108" s="421"/>
      <c r="G108" s="421"/>
      <c r="N108" s="421"/>
      <c r="O108" s="421"/>
      <c r="P108" s="419"/>
      <c r="Q108" s="940"/>
      <c r="R108" s="421"/>
      <c r="S108" s="421"/>
      <c r="T108" s="421"/>
      <c r="U108" s="940"/>
      <c r="V108" s="421"/>
      <c r="W108" s="421"/>
      <c r="X108" s="421"/>
      <c r="Y108" s="421"/>
      <c r="Z108" s="53"/>
      <c r="AA108" s="31"/>
    </row>
    <row r="109" spans="1:27" s="42" customFormat="1" ht="15.75" x14ac:dyDescent="0.25">
      <c r="A109" s="36"/>
      <c r="B109" s="592"/>
      <c r="D109" s="1078" t="s">
        <v>838</v>
      </c>
      <c r="E109" s="1090">
        <v>17.100000000000001</v>
      </c>
      <c r="F109" s="421"/>
      <c r="G109" s="421"/>
      <c r="N109" s="421"/>
      <c r="O109" s="421"/>
      <c r="P109" s="419"/>
      <c r="Q109" s="940"/>
      <c r="R109" s="421"/>
      <c r="S109" s="421"/>
      <c r="T109" s="421"/>
      <c r="U109" s="940"/>
      <c r="V109" s="421"/>
      <c r="W109" s="421"/>
      <c r="X109" s="421"/>
      <c r="Y109" s="421"/>
      <c r="Z109" s="53"/>
      <c r="AA109" s="31"/>
    </row>
    <row r="110" spans="1:27" s="56" customFormat="1" ht="15" customHeight="1" x14ac:dyDescent="0.25">
      <c r="A110" s="55"/>
      <c r="B110" s="599"/>
      <c r="D110" s="585" t="s">
        <v>518</v>
      </c>
      <c r="E110" s="1028"/>
      <c r="F110" s="429"/>
      <c r="G110" s="428"/>
      <c r="N110" s="424"/>
      <c r="O110" s="424"/>
      <c r="P110" s="422"/>
      <c r="Q110" s="1086"/>
      <c r="R110" s="424"/>
      <c r="S110" s="424"/>
      <c r="T110" s="424"/>
      <c r="U110" s="940"/>
      <c r="V110" s="424"/>
      <c r="W110" s="424"/>
      <c r="X110" s="424"/>
      <c r="Y110" s="424"/>
      <c r="Z110" s="57"/>
      <c r="AA110" s="31"/>
    </row>
    <row r="111" spans="1:27" s="56" customFormat="1" ht="15" customHeight="1" x14ac:dyDescent="0.25">
      <c r="A111" s="55"/>
      <c r="B111" s="599"/>
      <c r="C111" s="49"/>
      <c r="D111" s="586" t="s">
        <v>498</v>
      </c>
      <c r="E111" s="1028">
        <f>+E91/E109/32</f>
        <v>195.96107686581206</v>
      </c>
      <c r="F111" s="429"/>
      <c r="G111" s="428"/>
      <c r="H111" s="427"/>
      <c r="I111" s="427"/>
      <c r="L111" s="424"/>
      <c r="M111" s="424"/>
      <c r="N111" s="424"/>
      <c r="O111" s="424"/>
      <c r="P111" s="422"/>
      <c r="Q111" s="1086"/>
      <c r="R111" s="424"/>
      <c r="S111" s="424"/>
      <c r="T111" s="424"/>
      <c r="U111" s="940"/>
      <c r="V111" s="424"/>
      <c r="W111" s="424"/>
      <c r="X111" s="424"/>
      <c r="Y111" s="424"/>
      <c r="Z111" s="57"/>
      <c r="AA111" s="31"/>
    </row>
    <row r="112" spans="1:27" s="56" customFormat="1" ht="15" customHeight="1" x14ac:dyDescent="0.25">
      <c r="A112" s="55"/>
      <c r="B112" s="600"/>
      <c r="D112" s="587" t="s">
        <v>405</v>
      </c>
      <c r="E112" s="1028">
        <f>+Resultaatgrafiek!U141/E109</f>
        <v>395.48716878654932</v>
      </c>
      <c r="F112" s="429"/>
      <c r="G112" s="428"/>
      <c r="H112" s="427"/>
      <c r="I112" s="427"/>
      <c r="J112" s="427"/>
      <c r="K112" s="424"/>
      <c r="L112" s="424"/>
      <c r="M112" s="424"/>
      <c r="N112" s="424"/>
      <c r="O112" s="424"/>
      <c r="P112" s="422"/>
      <c r="Q112" s="1086"/>
      <c r="R112" s="424"/>
      <c r="S112" s="424"/>
      <c r="T112" s="424"/>
      <c r="U112" s="940"/>
      <c r="V112" s="424"/>
      <c r="W112" s="424"/>
      <c r="X112" s="424"/>
      <c r="Y112" s="424"/>
      <c r="Z112" s="57"/>
      <c r="AA112" s="31"/>
    </row>
    <row r="113" spans="1:27" s="56" customFormat="1" ht="15" customHeight="1" x14ac:dyDescent="0.25">
      <c r="A113" s="55"/>
      <c r="B113" s="600"/>
      <c r="D113" s="588" t="s">
        <v>407</v>
      </c>
      <c r="E113" s="1028">
        <f>+E91/E109</f>
        <v>6270.7544597059859</v>
      </c>
      <c r="F113" s="429"/>
      <c r="G113" s="428"/>
      <c r="H113" s="427"/>
      <c r="I113" s="427"/>
      <c r="J113" s="427"/>
      <c r="K113" s="424"/>
      <c r="L113" s="424"/>
      <c r="M113" s="424"/>
      <c r="N113" s="424"/>
      <c r="O113" s="424"/>
      <c r="P113" s="422"/>
      <c r="Q113" s="1086"/>
      <c r="R113" s="424"/>
      <c r="S113" s="424"/>
      <c r="T113" s="424"/>
      <c r="U113" s="940"/>
      <c r="V113" s="424"/>
      <c r="W113" s="424"/>
      <c r="X113" s="424"/>
      <c r="Y113" s="424"/>
      <c r="Z113" s="57"/>
      <c r="AA113" s="31"/>
    </row>
    <row r="114" spans="1:27" ht="15" customHeight="1" x14ac:dyDescent="0.25">
      <c r="E114" s="1029"/>
      <c r="P114" s="8"/>
      <c r="Q114" s="1086"/>
      <c r="U114" s="940"/>
    </row>
    <row r="115" spans="1:27" s="56" customFormat="1" ht="15" customHeight="1" x14ac:dyDescent="0.25">
      <c r="A115" s="55"/>
      <c r="B115" s="599"/>
      <c r="D115" s="589" t="s">
        <v>519</v>
      </c>
      <c r="E115" s="1028"/>
      <c r="F115" s="429"/>
      <c r="G115" s="428"/>
      <c r="H115" s="427"/>
      <c r="I115" s="427"/>
      <c r="J115" s="427"/>
      <c r="K115" s="424"/>
      <c r="L115" s="424"/>
      <c r="M115" s="424"/>
      <c r="N115" s="424"/>
      <c r="O115" s="424"/>
      <c r="P115" s="422"/>
      <c r="Q115" s="1086"/>
      <c r="R115" s="424"/>
      <c r="S115" s="424"/>
      <c r="T115" s="424"/>
      <c r="U115" s="940"/>
      <c r="V115" s="424"/>
      <c r="W115" s="424"/>
      <c r="X115" s="424"/>
      <c r="Y115" s="424"/>
      <c r="Z115" s="57"/>
      <c r="AA115" s="31"/>
    </row>
    <row r="116" spans="1:27" s="56" customFormat="1" ht="15" customHeight="1" x14ac:dyDescent="0.25">
      <c r="A116" s="55"/>
      <c r="B116" s="599"/>
      <c r="D116" s="590" t="s">
        <v>408</v>
      </c>
      <c r="E116" s="1028">
        <f>+E113*4</f>
        <v>25083.017838823944</v>
      </c>
      <c r="F116" s="429"/>
      <c r="G116" s="428"/>
      <c r="H116" s="427"/>
      <c r="I116" s="427"/>
      <c r="J116" s="427"/>
      <c r="K116" s="424"/>
      <c r="L116" s="424"/>
      <c r="M116" s="424"/>
      <c r="N116" s="424"/>
      <c r="O116" s="424"/>
      <c r="P116" s="422"/>
      <c r="Q116" s="1086"/>
      <c r="R116" s="424"/>
      <c r="S116" s="424"/>
      <c r="T116" s="424"/>
      <c r="U116" s="940"/>
      <c r="V116" s="424"/>
      <c r="W116" s="424"/>
      <c r="X116" s="424"/>
      <c r="Y116" s="424"/>
      <c r="Z116" s="57"/>
      <c r="AA116" s="31"/>
    </row>
    <row r="117" spans="1:27" ht="15" customHeight="1" x14ac:dyDescent="0.25">
      <c r="D117" s="1074" t="s">
        <v>406</v>
      </c>
      <c r="E117" s="1028">
        <f>+E112*4</f>
        <v>1581.9486751461973</v>
      </c>
      <c r="P117" s="8"/>
      <c r="Q117" s="1086"/>
      <c r="U117" s="940"/>
    </row>
    <row r="118" spans="1:27" s="56" customFormat="1" ht="15" customHeight="1" x14ac:dyDescent="0.25">
      <c r="A118" s="55"/>
      <c r="B118" s="599"/>
      <c r="C118" s="1753"/>
      <c r="D118" s="1753"/>
      <c r="E118" s="1028"/>
      <c r="F118" s="429"/>
      <c r="G118" s="428"/>
      <c r="H118" s="427"/>
      <c r="I118" s="427"/>
      <c r="J118" s="427"/>
      <c r="K118" s="424"/>
      <c r="L118" s="424"/>
      <c r="M118" s="424"/>
      <c r="N118" s="424"/>
      <c r="O118" s="424"/>
      <c r="P118" s="422"/>
      <c r="Q118" s="1086"/>
      <c r="R118" s="424"/>
      <c r="S118" s="424"/>
      <c r="T118" s="424"/>
      <c r="U118" s="940"/>
      <c r="V118" s="424"/>
      <c r="W118" s="424"/>
      <c r="X118" s="424"/>
      <c r="Y118" s="424"/>
      <c r="Z118" s="57"/>
      <c r="AA118" s="31"/>
    </row>
    <row r="119" spans="1:27" s="56" customFormat="1" ht="15" customHeight="1" x14ac:dyDescent="0.25">
      <c r="A119" s="752" t="s">
        <v>576</v>
      </c>
      <c r="B119" s="753"/>
      <c r="C119" s="754"/>
      <c r="D119" s="273"/>
      <c r="E119" s="1030"/>
      <c r="F119" s="755"/>
      <c r="G119" s="755"/>
      <c r="H119" s="755"/>
      <c r="I119" s="755"/>
      <c r="J119" s="756"/>
      <c r="K119" s="755"/>
      <c r="L119" s="755"/>
      <c r="M119" s="755"/>
      <c r="N119" s="755"/>
      <c r="O119" s="755"/>
      <c r="P119" s="757"/>
      <c r="Q119" s="940"/>
      <c r="R119" s="755"/>
      <c r="S119" s="755"/>
      <c r="T119" s="755"/>
      <c r="U119" s="940"/>
      <c r="V119" s="755"/>
      <c r="W119" s="755"/>
      <c r="X119" s="755"/>
      <c r="Y119" s="755"/>
      <c r="Z119" s="758"/>
      <c r="AA119" s="31"/>
    </row>
    <row r="120" spans="1:27" s="56" customFormat="1" ht="31.5" x14ac:dyDescent="0.25">
      <c r="A120" s="759"/>
      <c r="B120" s="599"/>
      <c r="D120" s="111"/>
      <c r="E120" s="1027" t="s">
        <v>499</v>
      </c>
      <c r="F120" s="424"/>
      <c r="G120" s="424"/>
      <c r="H120" s="424"/>
      <c r="I120" s="424"/>
      <c r="J120" s="760"/>
      <c r="K120" s="424"/>
      <c r="L120" s="424"/>
      <c r="M120" s="424"/>
      <c r="N120" s="424"/>
      <c r="O120" s="424"/>
      <c r="P120" s="422"/>
      <c r="Q120" s="940"/>
      <c r="R120" s="424"/>
      <c r="S120" s="424"/>
      <c r="T120" s="424"/>
      <c r="U120" s="940"/>
      <c r="V120" s="424"/>
      <c r="W120" s="424"/>
      <c r="X120" s="424"/>
      <c r="Y120" s="424"/>
      <c r="Z120" s="761"/>
      <c r="AA120" s="31"/>
    </row>
    <row r="121" spans="1:27" s="56" customFormat="1" ht="15.75" x14ac:dyDescent="0.25">
      <c r="A121" s="759"/>
      <c r="B121" s="599"/>
      <c r="C121" s="918"/>
      <c r="D121" s="919" t="s">
        <v>597</v>
      </c>
      <c r="E121" s="1021">
        <f>+Resultaatgrafiek!Q267</f>
        <v>0</v>
      </c>
      <c r="F121" s="424"/>
      <c r="G121" s="424"/>
      <c r="H121" s="424"/>
      <c r="I121" s="424"/>
      <c r="J121" s="760"/>
      <c r="K121" s="424"/>
      <c r="L121" s="424"/>
      <c r="M121" s="424"/>
      <c r="N121" s="424"/>
      <c r="O121" s="424"/>
      <c r="P121" s="422"/>
      <c r="Q121" s="940"/>
      <c r="R121" s="424"/>
      <c r="S121" s="424"/>
      <c r="T121" s="424"/>
      <c r="U121" s="940"/>
      <c r="V121" s="424"/>
      <c r="W121" s="424"/>
      <c r="X121" s="424"/>
      <c r="Y121" s="424"/>
      <c r="Z121" s="761"/>
      <c r="AA121" s="31"/>
    </row>
    <row r="122" spans="1:27" s="56" customFormat="1" ht="32.25" customHeight="1" x14ac:dyDescent="0.25">
      <c r="A122" s="55"/>
      <c r="B122" s="599"/>
      <c r="C122" s="1752" t="s">
        <v>572</v>
      </c>
      <c r="D122" s="1752"/>
      <c r="E122" s="1028"/>
      <c r="F122" s="429"/>
      <c r="G122" s="428"/>
      <c r="H122" s="427"/>
      <c r="I122" s="427"/>
      <c r="J122" s="427"/>
      <c r="K122" s="424"/>
      <c r="L122" s="424"/>
      <c r="M122" s="424"/>
      <c r="N122" s="424"/>
      <c r="O122" s="424"/>
      <c r="P122" s="422"/>
      <c r="Q122" s="1086"/>
      <c r="R122" s="424"/>
      <c r="S122" s="424"/>
      <c r="T122" s="424"/>
      <c r="U122" s="940"/>
      <c r="V122" s="424"/>
      <c r="W122" s="424"/>
      <c r="X122" s="424"/>
      <c r="Y122" s="424"/>
      <c r="Z122" s="57"/>
      <c r="AA122" s="31"/>
    </row>
    <row r="123" spans="1:27" s="56" customFormat="1" ht="15" customHeight="1" x14ac:dyDescent="0.25">
      <c r="A123" s="55"/>
      <c r="B123" s="600"/>
      <c r="D123" s="586" t="s">
        <v>498</v>
      </c>
      <c r="E123" s="1028">
        <f>+(E121)/E109/32</f>
        <v>0</v>
      </c>
      <c r="F123" s="429"/>
      <c r="G123" s="428"/>
      <c r="H123" s="427"/>
      <c r="I123" s="427"/>
      <c r="J123" s="427"/>
      <c r="K123" s="424"/>
      <c r="L123" s="424"/>
      <c r="M123" s="424"/>
      <c r="N123" s="424"/>
      <c r="O123" s="424"/>
      <c r="P123" s="422"/>
      <c r="Q123" s="1086"/>
      <c r="R123" s="424"/>
      <c r="S123" s="424"/>
      <c r="T123" s="424"/>
      <c r="U123" s="940"/>
      <c r="V123" s="424"/>
      <c r="W123" s="424"/>
      <c r="X123" s="424"/>
      <c r="Y123" s="424"/>
      <c r="Z123" s="57"/>
      <c r="AA123" s="31"/>
    </row>
    <row r="124" spans="1:27" ht="15" customHeight="1" x14ac:dyDescent="0.25">
      <c r="E124" s="1029"/>
      <c r="P124" s="8"/>
      <c r="Q124" s="1086"/>
      <c r="U124" s="940"/>
    </row>
    <row r="125" spans="1:27" s="56" customFormat="1" ht="30" customHeight="1" x14ac:dyDescent="0.25">
      <c r="A125" s="55"/>
      <c r="B125" s="600"/>
      <c r="C125" s="1752" t="s">
        <v>573</v>
      </c>
      <c r="D125" s="1752"/>
      <c r="E125" s="1028"/>
      <c r="F125" s="429"/>
      <c r="G125" s="428"/>
      <c r="H125" s="427"/>
      <c r="I125" s="427"/>
      <c r="J125" s="427"/>
      <c r="K125" s="424"/>
      <c r="L125" s="424"/>
      <c r="M125" s="424"/>
      <c r="N125" s="424"/>
      <c r="O125" s="424"/>
      <c r="P125" s="422"/>
      <c r="Q125" s="1086"/>
      <c r="R125" s="424"/>
      <c r="S125" s="424"/>
      <c r="T125" s="424"/>
      <c r="U125" s="940"/>
      <c r="V125" s="424"/>
      <c r="W125" s="424"/>
      <c r="X125" s="424"/>
      <c r="Y125" s="424"/>
      <c r="Z125" s="57"/>
      <c r="AA125" s="31"/>
    </row>
    <row r="126" spans="1:27" s="56" customFormat="1" ht="17.25" customHeight="1" x14ac:dyDescent="0.25">
      <c r="A126" s="55"/>
      <c r="B126" s="599"/>
      <c r="C126" s="1100"/>
      <c r="D126" s="590" t="s">
        <v>408</v>
      </c>
      <c r="E126" s="1028">
        <f>+(E121)/E109*4</f>
        <v>0</v>
      </c>
      <c r="F126" s="429"/>
      <c r="G126" s="428"/>
      <c r="H126" s="427"/>
      <c r="I126" s="427"/>
      <c r="J126" s="427"/>
      <c r="K126" s="424"/>
      <c r="L126" s="424"/>
      <c r="M126" s="424"/>
      <c r="N126" s="424"/>
      <c r="O126" s="424"/>
      <c r="P126" s="422"/>
      <c r="Q126" s="1086"/>
      <c r="R126" s="424"/>
      <c r="S126" s="424"/>
      <c r="T126" s="424"/>
      <c r="U126" s="940"/>
      <c r="V126" s="424"/>
      <c r="W126" s="424"/>
      <c r="X126" s="424"/>
      <c r="Y126" s="424"/>
      <c r="Z126" s="57"/>
      <c r="AA126" s="31"/>
    </row>
    <row r="127" spans="1:27" s="56" customFormat="1" ht="17.25" customHeight="1" x14ac:dyDescent="0.25">
      <c r="A127" s="55"/>
      <c r="B127" s="599"/>
      <c r="C127" s="1100"/>
      <c r="D127" s="590" t="s">
        <v>574</v>
      </c>
      <c r="E127" s="1102">
        <f>+Resultaatgrafiek!O262/E109*4</f>
        <v>1941.7571785998741</v>
      </c>
      <c r="F127" s="429"/>
      <c r="G127" s="428"/>
      <c r="H127" s="427"/>
      <c r="I127" s="427"/>
      <c r="J127" s="427"/>
      <c r="K127" s="424"/>
      <c r="L127" s="424"/>
      <c r="M127" s="424"/>
      <c r="N127" s="424"/>
      <c r="O127" s="424"/>
      <c r="P127" s="422"/>
      <c r="Q127" s="1086"/>
      <c r="R127" s="424"/>
      <c r="S127" s="424"/>
      <c r="T127" s="424"/>
      <c r="U127" s="940"/>
      <c r="V127" s="424"/>
      <c r="W127" s="424"/>
      <c r="X127" s="424"/>
      <c r="Y127" s="424"/>
      <c r="Z127" s="57"/>
      <c r="AA127" s="31"/>
    </row>
    <row r="128" spans="1:27" s="56" customFormat="1" ht="15" customHeight="1" x14ac:dyDescent="0.25">
      <c r="A128" s="55"/>
      <c r="B128" s="600"/>
      <c r="D128" s="587"/>
      <c r="E128" s="1103"/>
      <c r="F128" s="429"/>
      <c r="G128" s="428"/>
      <c r="H128" s="427"/>
      <c r="I128" s="427"/>
      <c r="J128" s="427"/>
      <c r="K128" s="424"/>
      <c r="L128" s="424"/>
      <c r="M128" s="424"/>
      <c r="N128" s="424"/>
      <c r="O128" s="424"/>
      <c r="P128" s="422"/>
      <c r="Q128" s="8"/>
      <c r="R128" s="424"/>
      <c r="S128" s="424"/>
      <c r="T128" s="424"/>
      <c r="U128"/>
      <c r="V128" s="424"/>
      <c r="W128" s="424"/>
      <c r="X128" s="424"/>
      <c r="Y128" s="424"/>
      <c r="Z128" s="57"/>
      <c r="AA128" s="31"/>
    </row>
    <row r="129" spans="1:27" ht="15" customHeight="1" x14ac:dyDescent="0.25">
      <c r="P129" s="8"/>
      <c r="Q129" s="8"/>
    </row>
    <row r="130" spans="1:27" s="111" customFormat="1" ht="15" customHeight="1" x14ac:dyDescent="0.25">
      <c r="A130" s="112"/>
      <c r="B130" s="599"/>
      <c r="D130" s="73"/>
      <c r="E130" s="75"/>
      <c r="F130" s="46"/>
      <c r="G130" s="46"/>
      <c r="H130" s="46"/>
      <c r="I130" s="46"/>
      <c r="J130" s="46"/>
      <c r="K130" s="46"/>
      <c r="L130" s="46"/>
      <c r="M130" s="46"/>
      <c r="N130" s="46"/>
      <c r="O130" s="46"/>
      <c r="Q130"/>
      <c r="R130" s="46"/>
      <c r="S130" s="46"/>
      <c r="T130" s="46"/>
      <c r="U130"/>
      <c r="V130" s="46"/>
      <c r="W130" s="46"/>
      <c r="X130" s="46"/>
      <c r="Y130" s="46"/>
      <c r="Z130" s="46"/>
      <c r="AA130" s="29"/>
    </row>
  </sheetData>
  <mergeCells count="8">
    <mergeCell ref="C122:D122"/>
    <mergeCell ref="C125:D125"/>
    <mergeCell ref="C118:D118"/>
    <mergeCell ref="F1:P1"/>
    <mergeCell ref="V1:Y1"/>
    <mergeCell ref="R1:T1"/>
    <mergeCell ref="A1:D1"/>
    <mergeCell ref="C101:D101"/>
  </mergeCells>
  <conditionalFormatting sqref="D85">
    <cfRule type="cellIs" dxfId="13" priority="1" operator="notEqual">
      <formula>0</formula>
    </cfRule>
  </conditionalFormatting>
  <pageMargins left="0.39370078740157483" right="0.39370078740157483" top="0.78740157480314965" bottom="0.59055118110236227" header="0" footer="0"/>
  <pageSetup paperSize="9" scale="54" orientation="portrait" horizontalDpi="4294967293" verticalDpi="4294967293"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298"/>
  <sheetViews>
    <sheetView showGridLines="0" topLeftCell="A158" zoomScale="70" zoomScaleNormal="70" workbookViewId="0">
      <selection activeCell="N302" sqref="N302"/>
    </sheetView>
  </sheetViews>
  <sheetFormatPr defaultRowHeight="15" x14ac:dyDescent="0.25"/>
  <cols>
    <col min="1" max="1" width="43.7109375" customWidth="1"/>
    <col min="2" max="2" width="8.140625" customWidth="1"/>
    <col min="3" max="3" width="11.85546875" customWidth="1"/>
    <col min="4" max="4" width="12" customWidth="1"/>
    <col min="5" max="5" width="12.42578125" customWidth="1"/>
    <col min="6" max="6" width="10.7109375" customWidth="1"/>
    <col min="7" max="7" width="10.140625" customWidth="1"/>
    <col min="8" max="8" width="10" customWidth="1"/>
    <col min="9" max="9" width="11.140625" customWidth="1"/>
    <col min="10" max="10" width="10.140625" customWidth="1"/>
    <col min="11" max="11" width="10.28515625" customWidth="1"/>
    <col min="12" max="12" width="10.5703125" customWidth="1"/>
    <col min="13" max="13" width="10.140625" customWidth="1"/>
    <col min="14" max="18" width="10.7109375" customWidth="1"/>
    <col min="19" max="19" width="12" customWidth="1"/>
    <col min="20" max="20" width="10" bestFit="1" customWidth="1"/>
    <col min="21" max="21" width="13.28515625" customWidth="1"/>
    <col min="22" max="22" width="13.140625" customWidth="1"/>
    <col min="23" max="23" width="12" customWidth="1"/>
    <col min="24" max="27" width="9.7109375" customWidth="1"/>
    <col min="28" max="28" width="12.5703125" customWidth="1"/>
    <col min="29" max="29" width="5.7109375" customWidth="1"/>
    <col min="30" max="30" width="11.5703125" customWidth="1"/>
    <col min="31" max="31" width="11.5703125" style="2" customWidth="1"/>
    <col min="32" max="34" width="5.7109375" customWidth="1"/>
    <col min="35" max="35" width="10.85546875" customWidth="1"/>
    <col min="36" max="36" width="12.85546875" customWidth="1"/>
    <col min="37" max="37" width="9.28515625" customWidth="1"/>
    <col min="38" max="38" width="12.85546875" customWidth="1"/>
    <col min="39" max="39" width="9.7109375" customWidth="1"/>
    <col min="40" max="40" width="7.7109375" customWidth="1"/>
    <col min="41" max="41" width="13.85546875" customWidth="1"/>
    <col min="42" max="42" width="11.42578125" customWidth="1"/>
    <col min="45" max="45" width="9.140625" customWidth="1"/>
    <col min="46" max="46" width="12.7109375" customWidth="1"/>
  </cols>
  <sheetData>
    <row r="1" spans="1:36" ht="21" x14ac:dyDescent="0.35">
      <c r="A1" s="288" t="s">
        <v>372</v>
      </c>
      <c r="B1" s="278"/>
      <c r="C1" s="279"/>
      <c r="D1" s="279"/>
      <c r="E1" s="280"/>
      <c r="F1" s="281"/>
      <c r="G1" s="281"/>
      <c r="H1" s="282"/>
      <c r="I1" s="282"/>
      <c r="J1" s="21"/>
      <c r="K1" s="21"/>
      <c r="L1" s="21"/>
      <c r="M1" s="283"/>
      <c r="N1" s="283"/>
      <c r="O1" s="283"/>
      <c r="P1" s="21"/>
      <c r="Q1" s="281"/>
      <c r="R1" s="281"/>
      <c r="S1" s="281"/>
      <c r="T1" s="284"/>
      <c r="U1" s="284"/>
      <c r="V1" s="284"/>
      <c r="W1" s="284"/>
    </row>
    <row r="2" spans="1:36" ht="15.75" x14ac:dyDescent="0.25">
      <c r="A2" s="63" t="s">
        <v>520</v>
      </c>
      <c r="B2" s="63"/>
      <c r="C2" s="63"/>
      <c r="D2" s="63"/>
      <c r="E2" s="63"/>
      <c r="F2" s="63"/>
      <c r="G2" s="63"/>
      <c r="H2" s="63"/>
      <c r="I2" s="63"/>
      <c r="J2" s="63"/>
      <c r="K2" s="63"/>
      <c r="L2" s="63"/>
      <c r="T2" s="63"/>
      <c r="AA2" s="1"/>
      <c r="AB2" s="1"/>
      <c r="AC2" s="1"/>
      <c r="AD2" s="1"/>
    </row>
    <row r="3" spans="1:36" s="3" customFormat="1" ht="15.75" x14ac:dyDescent="0.25">
      <c r="A3" s="54" t="s">
        <v>521</v>
      </c>
      <c r="B3" s="54"/>
      <c r="C3" s="54"/>
      <c r="D3" s="54"/>
      <c r="F3" s="46"/>
      <c r="G3" s="46"/>
      <c r="H3" s="54"/>
      <c r="I3" s="54"/>
      <c r="J3" s="54"/>
      <c r="K3" s="54"/>
      <c r="L3" s="54"/>
      <c r="M3" s="54"/>
      <c r="N3" s="54"/>
      <c r="O3" s="46"/>
      <c r="P3" s="46"/>
      <c r="Q3" s="54"/>
      <c r="R3" s="54"/>
      <c r="S3" s="54"/>
      <c r="T3" s="54"/>
      <c r="AE3" s="399"/>
    </row>
    <row r="4" spans="1:36" s="3" customFormat="1" ht="15.75" x14ac:dyDescent="0.25">
      <c r="A4" s="54" t="s">
        <v>663</v>
      </c>
      <c r="B4" s="54"/>
      <c r="C4" s="54"/>
      <c r="D4" s="54"/>
      <c r="F4" s="46"/>
      <c r="G4" s="46"/>
      <c r="H4" s="54"/>
      <c r="I4" s="54"/>
      <c r="J4" s="54"/>
      <c r="K4" s="54"/>
      <c r="L4" s="54"/>
      <c r="M4" s="54"/>
      <c r="N4" s="54"/>
      <c r="O4" s="46"/>
      <c r="P4" s="46"/>
      <c r="Q4" s="54"/>
      <c r="R4" s="54"/>
      <c r="S4" s="54"/>
      <c r="T4" s="54"/>
      <c r="AE4" s="399"/>
    </row>
    <row r="5" spans="1:36" ht="94.5" x14ac:dyDescent="0.25">
      <c r="A5" s="347" t="s">
        <v>311</v>
      </c>
      <c r="B5" s="1616" t="s">
        <v>85</v>
      </c>
      <c r="C5" s="1616" t="s">
        <v>481</v>
      </c>
      <c r="D5" s="1617" t="s">
        <v>1142</v>
      </c>
      <c r="E5" s="1616" t="s">
        <v>487</v>
      </c>
      <c r="F5" s="1617" t="s">
        <v>1145</v>
      </c>
      <c r="G5" s="1616" t="s">
        <v>200</v>
      </c>
      <c r="H5" s="1616" t="s">
        <v>199</v>
      </c>
      <c r="I5" s="1616" t="s">
        <v>299</v>
      </c>
      <c r="J5" s="1616" t="s">
        <v>300</v>
      </c>
      <c r="K5" s="1616" t="s">
        <v>235</v>
      </c>
      <c r="L5" s="1616" t="s">
        <v>1147</v>
      </c>
      <c r="M5" s="1616" t="s">
        <v>1146</v>
      </c>
      <c r="N5" s="1616" t="s">
        <v>463</v>
      </c>
      <c r="O5" s="1616" t="s">
        <v>464</v>
      </c>
      <c r="P5" s="1616" t="s">
        <v>1148</v>
      </c>
      <c r="Q5" s="1616" t="s">
        <v>577</v>
      </c>
      <c r="R5" s="1616" t="s">
        <v>1143</v>
      </c>
      <c r="S5" s="1616" t="s">
        <v>1144</v>
      </c>
      <c r="T5" s="1616" t="s">
        <v>452</v>
      </c>
      <c r="U5" s="1618" t="s">
        <v>16</v>
      </c>
      <c r="V5" s="1619"/>
      <c r="W5" s="15"/>
      <c r="X5" s="100"/>
      <c r="Y5" s="17"/>
      <c r="Z5" s="3"/>
      <c r="AA5" s="3"/>
      <c r="AB5" s="3"/>
      <c r="AC5" s="3"/>
      <c r="AD5" s="3"/>
    </row>
    <row r="6" spans="1:36" ht="15.75" x14ac:dyDescent="0.25">
      <c r="A6" s="103" t="s">
        <v>489</v>
      </c>
      <c r="B6" s="103"/>
      <c r="C6" s="103"/>
      <c r="D6" s="1144"/>
      <c r="E6" s="103"/>
      <c r="F6" s="99">
        <f>+'SDE&amp;MEP tm 2012'!D$23</f>
        <v>147</v>
      </c>
      <c r="G6" s="105">
        <f>+'SDE&amp;MEP tm 2012'!D24</f>
        <v>4043.7</v>
      </c>
      <c r="H6" s="105">
        <f>+'SDE&amp;MEP tm 2012'!D25</f>
        <v>780.84999999999991</v>
      </c>
      <c r="I6" s="104">
        <f>+'SDE&amp;MEP tm 2012'!D26</f>
        <v>253</v>
      </c>
      <c r="J6" s="104"/>
      <c r="K6" s="104">
        <f>+'SDE&amp;MEP tm 2012'!D27</f>
        <v>0</v>
      </c>
      <c r="L6" s="104">
        <f>+'SDE&amp;MEP tm 2012'!D28</f>
        <v>0</v>
      </c>
      <c r="M6" s="104"/>
      <c r="N6" s="637">
        <f>+'SDE&amp;MEP tm 2012'!D30</f>
        <v>10275.450000000001</v>
      </c>
      <c r="O6" s="110"/>
      <c r="P6" s="110"/>
      <c r="Q6" s="106"/>
      <c r="R6" s="64"/>
      <c r="S6" s="103"/>
      <c r="T6" s="103"/>
      <c r="U6" s="103">
        <f t="shared" ref="U6:U41" si="0">SUM(F6:T6)</f>
        <v>15500</v>
      </c>
      <c r="V6" s="15"/>
      <c r="W6" s="15"/>
      <c r="X6" s="100"/>
      <c r="Y6" s="17"/>
      <c r="Z6" s="3"/>
      <c r="AA6" s="3"/>
      <c r="AB6" s="3"/>
      <c r="AC6" s="3"/>
      <c r="AD6" s="3"/>
    </row>
    <row r="7" spans="1:36" ht="15.75" x14ac:dyDescent="0.25">
      <c r="A7" s="107">
        <v>2003</v>
      </c>
      <c r="B7" s="1606">
        <v>400</v>
      </c>
      <c r="C7" s="1606"/>
      <c r="D7" s="1607"/>
      <c r="E7" s="1606">
        <f t="shared" ref="E7:E39" si="1">SUM(B7:D7)</f>
        <v>400</v>
      </c>
      <c r="F7" s="98"/>
      <c r="G7" s="103"/>
      <c r="H7" s="103"/>
      <c r="I7" s="103"/>
      <c r="J7" s="105">
        <f>+' PV'!L99</f>
        <v>3.3333333333333339</v>
      </c>
      <c r="K7" s="105"/>
      <c r="L7" s="105"/>
      <c r="M7" s="105"/>
      <c r="N7" s="103"/>
      <c r="O7" s="103"/>
      <c r="P7" s="105"/>
      <c r="Q7" s="105"/>
      <c r="R7" s="507"/>
      <c r="S7" s="270">
        <f>Energiebesparing!D34+Energiebesparing!B$92</f>
        <v>150</v>
      </c>
      <c r="T7" s="1246"/>
      <c r="U7" s="103">
        <f t="shared" si="0"/>
        <v>153.33333333333334</v>
      </c>
      <c r="V7" s="15"/>
      <c r="W7" s="15"/>
      <c r="X7" s="100"/>
      <c r="Y7" s="62"/>
      <c r="Z7" s="3"/>
      <c r="AA7" s="3"/>
      <c r="AB7" s="3"/>
      <c r="AC7" s="3"/>
      <c r="AD7" s="3"/>
    </row>
    <row r="8" spans="1:36" ht="15.75" x14ac:dyDescent="0.25">
      <c r="A8" s="107">
        <v>2004</v>
      </c>
      <c r="B8" s="1606">
        <v>450</v>
      </c>
      <c r="C8" s="1606"/>
      <c r="D8" s="1607"/>
      <c r="E8" s="1606">
        <f t="shared" si="1"/>
        <v>450</v>
      </c>
      <c r="F8" s="98"/>
      <c r="G8" s="103"/>
      <c r="H8" s="103"/>
      <c r="I8" s="103"/>
      <c r="J8" s="105">
        <f>+' PV'!L100</f>
        <v>3.3333333333333339</v>
      </c>
      <c r="K8" s="105"/>
      <c r="L8" s="105"/>
      <c r="M8" s="105"/>
      <c r="N8" s="103"/>
      <c r="O8" s="103"/>
      <c r="P8" s="105"/>
      <c r="Q8" s="105"/>
      <c r="R8" s="507"/>
      <c r="S8" s="270">
        <f>Energiebesparing!D35+Energiebesparing!B$92</f>
        <v>167.1930242207701</v>
      </c>
      <c r="T8" s="1246"/>
      <c r="U8" s="103">
        <f t="shared" si="0"/>
        <v>170.52635755410344</v>
      </c>
      <c r="V8" s="15"/>
      <c r="W8" s="15"/>
      <c r="X8" s="100"/>
      <c r="Y8" s="62"/>
      <c r="Z8" s="3"/>
      <c r="AA8" s="3"/>
      <c r="AB8" s="3"/>
      <c r="AC8" s="3"/>
      <c r="AD8" s="3"/>
    </row>
    <row r="9" spans="1:36" ht="15.75" x14ac:dyDescent="0.25">
      <c r="A9" s="107">
        <v>2005</v>
      </c>
      <c r="B9" s="1606">
        <v>450</v>
      </c>
      <c r="C9" s="1606"/>
      <c r="D9" s="1607"/>
      <c r="E9" s="1606">
        <f t="shared" si="1"/>
        <v>450</v>
      </c>
      <c r="F9" s="98"/>
      <c r="G9" s="103"/>
      <c r="H9" s="103"/>
      <c r="I9" s="103"/>
      <c r="J9" s="105">
        <f>+' PV'!L101</f>
        <v>3.3333333333333339</v>
      </c>
      <c r="K9" s="105"/>
      <c r="L9" s="105"/>
      <c r="M9" s="105"/>
      <c r="N9" s="103"/>
      <c r="O9" s="103"/>
      <c r="P9" s="105"/>
      <c r="Q9" s="105"/>
      <c r="R9" s="1143"/>
      <c r="S9" s="270">
        <f>Energiebesparing!D36+Energiebesparing!B$92</f>
        <v>187.10716380936614</v>
      </c>
      <c r="T9" s="1246"/>
      <c r="U9" s="1144">
        <f t="shared" si="0"/>
        <v>190.44049714269948</v>
      </c>
      <c r="V9" s="121"/>
      <c r="W9" s="121"/>
      <c r="X9" s="527"/>
      <c r="Y9" s="122"/>
      <c r="Z9" s="83"/>
      <c r="AA9" s="83"/>
      <c r="AB9" s="3"/>
      <c r="AC9" s="3"/>
      <c r="AD9" s="3"/>
    </row>
    <row r="10" spans="1:36" ht="15.75" x14ac:dyDescent="0.25">
      <c r="A10" s="107">
        <v>2006</v>
      </c>
      <c r="B10" s="1607">
        <v>450</v>
      </c>
      <c r="C10" s="1607"/>
      <c r="D10" s="1607"/>
      <c r="E10" s="1606">
        <f t="shared" si="1"/>
        <v>450</v>
      </c>
      <c r="F10" s="99"/>
      <c r="G10" s="103"/>
      <c r="H10" s="103"/>
      <c r="I10" s="103"/>
      <c r="J10" s="105">
        <f>+' PV'!L102</f>
        <v>3.3472222222222223</v>
      </c>
      <c r="K10" s="105"/>
      <c r="L10" s="105"/>
      <c r="M10" s="105"/>
      <c r="N10" s="103"/>
      <c r="O10" s="103"/>
      <c r="P10" s="105"/>
      <c r="Q10" s="105"/>
      <c r="R10" s="1143"/>
      <c r="S10" s="270">
        <f>Energiebesparing!D37+Energiebesparing!B$92</f>
        <v>206.89737935247089</v>
      </c>
      <c r="T10" s="1246"/>
      <c r="U10" s="1144">
        <f t="shared" si="0"/>
        <v>210.24460157469312</v>
      </c>
      <c r="V10" s="121"/>
      <c r="W10" s="121"/>
      <c r="X10" s="527"/>
      <c r="Y10" s="122"/>
      <c r="Z10" s="83"/>
      <c r="AA10" s="83"/>
      <c r="AB10" s="3"/>
      <c r="AC10" s="3"/>
      <c r="AD10" s="3"/>
    </row>
    <row r="11" spans="1:36" ht="15.75" x14ac:dyDescent="0.25">
      <c r="A11" s="107">
        <v>2007</v>
      </c>
      <c r="B11" s="1607">
        <v>475</v>
      </c>
      <c r="C11" s="1607"/>
      <c r="D11" s="1608">
        <f>+'SDE&amp;MEP tm 2012'!D$39/10</f>
        <v>35.89</v>
      </c>
      <c r="E11" s="1609">
        <f t="shared" si="1"/>
        <v>510.89</v>
      </c>
      <c r="F11" s="99"/>
      <c r="G11" s="103"/>
      <c r="H11" s="103"/>
      <c r="I11" s="103"/>
      <c r="J11" s="105">
        <f>+' PV'!L103</f>
        <v>3.3777777777777782</v>
      </c>
      <c r="K11" s="105"/>
      <c r="L11" s="105"/>
      <c r="M11" s="105"/>
      <c r="N11" s="103"/>
      <c r="O11" s="103"/>
      <c r="P11" s="105"/>
      <c r="Q11" s="105"/>
      <c r="R11" s="1143"/>
      <c r="S11" s="270">
        <f>Energiebesparing!D38+Energiebesparing!B$92</f>
        <v>228.11465982073122</v>
      </c>
      <c r="T11" s="1246"/>
      <c r="U11" s="1144">
        <f t="shared" si="0"/>
        <v>231.49243759850899</v>
      </c>
      <c r="V11" s="121"/>
      <c r="W11" s="121"/>
      <c r="X11" s="527"/>
      <c r="Y11" s="122"/>
      <c r="Z11" s="83"/>
      <c r="AA11" s="83"/>
      <c r="AB11" s="3"/>
      <c r="AC11" s="3"/>
      <c r="AD11" s="3"/>
    </row>
    <row r="12" spans="1:36" ht="15.75" x14ac:dyDescent="0.25">
      <c r="A12" s="107">
        <v>2008</v>
      </c>
      <c r="B12" s="1607">
        <v>500</v>
      </c>
      <c r="C12" s="1607"/>
      <c r="D12" s="1608">
        <f>+'SDE&amp;MEP tm 2012'!D$39/10+'SDE&amp;MEP tm 2012'!D$40/10</f>
        <v>78.085000000000008</v>
      </c>
      <c r="E12" s="1609">
        <f t="shared" si="1"/>
        <v>578.08500000000004</v>
      </c>
      <c r="F12" s="99"/>
      <c r="G12" s="103"/>
      <c r="H12" s="103"/>
      <c r="I12" s="103"/>
      <c r="J12" s="105">
        <f>+' PV'!L104</f>
        <v>3.4777777777777787</v>
      </c>
      <c r="K12" s="105"/>
      <c r="L12" s="105"/>
      <c r="M12" s="105"/>
      <c r="N12" s="103"/>
      <c r="O12" s="103"/>
      <c r="P12" s="105">
        <f>+Vervoer!L80</f>
        <v>0.88467973581047943</v>
      </c>
      <c r="Q12" s="105">
        <f>+Vervoer!E20</f>
        <v>55</v>
      </c>
      <c r="R12" s="1143"/>
      <c r="S12" s="270">
        <f>Energiebesparing!D39+Energiebesparing!B$92</f>
        <v>249.0660450069181</v>
      </c>
      <c r="T12" s="1246"/>
      <c r="U12" s="1144">
        <f t="shared" si="0"/>
        <v>308.42850252050636</v>
      </c>
      <c r="V12" s="121"/>
      <c r="W12" s="121"/>
      <c r="X12" s="527"/>
      <c r="Y12" s="1145"/>
      <c r="Z12" s="83"/>
      <c r="AA12" s="83"/>
      <c r="AB12" s="3"/>
      <c r="AC12" s="3"/>
      <c r="AD12" s="3"/>
    </row>
    <row r="13" spans="1:36" ht="15.75" x14ac:dyDescent="0.25">
      <c r="A13" s="107">
        <v>2009</v>
      </c>
      <c r="B13" s="1607">
        <v>650</v>
      </c>
      <c r="C13" s="1607"/>
      <c r="D13" s="1608">
        <f>+'SDE&amp;MEP tm 2012'!D$39/10+'SDE&amp;MEP tm 2012'!D$40/10</f>
        <v>78.085000000000008</v>
      </c>
      <c r="E13" s="1609">
        <f t="shared" si="1"/>
        <v>728.08500000000004</v>
      </c>
      <c r="F13" s="99"/>
      <c r="G13" s="103"/>
      <c r="H13" s="103"/>
      <c r="I13" s="103"/>
      <c r="J13" s="105">
        <f>+' PV'!L105</f>
        <v>4.4027777777777777</v>
      </c>
      <c r="K13" s="105"/>
      <c r="L13" s="105"/>
      <c r="M13" s="105"/>
      <c r="N13" s="103"/>
      <c r="O13" s="103"/>
      <c r="P13" s="105">
        <f>+Vervoer!L81</f>
        <v>42.906967186808274</v>
      </c>
      <c r="Q13" s="105">
        <f>+Vervoer!E21</f>
        <v>364</v>
      </c>
      <c r="R13" s="1143"/>
      <c r="S13" s="270">
        <f>Energiebesparing!D40+Energiebesparing!B$92</f>
        <v>270.75977131997979</v>
      </c>
      <c r="T13" s="1246"/>
      <c r="U13" s="1144">
        <f t="shared" si="0"/>
        <v>682.06951628456591</v>
      </c>
      <c r="V13" s="121"/>
      <c r="W13" s="121"/>
      <c r="X13" s="527"/>
      <c r="Y13" s="1145"/>
      <c r="Z13" s="83"/>
      <c r="AA13" s="83"/>
      <c r="AB13" s="3"/>
      <c r="AC13" s="3"/>
      <c r="AD13" s="3"/>
    </row>
    <row r="14" spans="1:36" ht="15.75" x14ac:dyDescent="0.25">
      <c r="A14" s="107">
        <v>2010</v>
      </c>
      <c r="B14" s="1607">
        <v>650</v>
      </c>
      <c r="C14" s="1607">
        <v>25</v>
      </c>
      <c r="D14" s="1608">
        <f>+'SDE&amp;MEP tm 2012'!D$39/10+'SDE&amp;MEP tm 2012'!D$40/10</f>
        <v>78.085000000000008</v>
      </c>
      <c r="E14" s="1609">
        <f t="shared" si="1"/>
        <v>753.08500000000004</v>
      </c>
      <c r="F14" s="99"/>
      <c r="G14" s="103"/>
      <c r="H14" s="103"/>
      <c r="I14" s="103"/>
      <c r="J14" s="105">
        <f>+' PV'!L106</f>
        <v>8.9666666666666686</v>
      </c>
      <c r="K14" s="105"/>
      <c r="L14" s="105"/>
      <c r="M14" s="105"/>
      <c r="N14" s="103"/>
      <c r="O14" s="103"/>
      <c r="P14" s="105">
        <f>+Vervoer!L82</f>
        <v>84.929254637806068</v>
      </c>
      <c r="Q14" s="105">
        <f>+Vervoer!E22</f>
        <v>719</v>
      </c>
      <c r="R14" s="1143"/>
      <c r="S14" s="270">
        <f>Energiebesparing!D41+Energiebesparing!B$92</f>
        <v>294.6299888786113</v>
      </c>
      <c r="T14" s="1246"/>
      <c r="U14" s="1144">
        <f t="shared" si="0"/>
        <v>1107.5259101830841</v>
      </c>
      <c r="V14" s="121"/>
      <c r="W14" s="121"/>
      <c r="X14" s="527"/>
      <c r="Y14" s="1145"/>
      <c r="Z14" s="1640"/>
      <c r="AA14" s="125"/>
      <c r="AB14" s="17"/>
      <c r="AC14" s="17"/>
      <c r="AD14" s="17"/>
      <c r="AE14" s="16"/>
      <c r="AF14" s="8"/>
      <c r="AG14" s="8"/>
      <c r="AH14" s="8"/>
      <c r="AI14" s="8"/>
      <c r="AJ14" s="8"/>
    </row>
    <row r="15" spans="1:36" ht="15.75" x14ac:dyDescent="0.25">
      <c r="A15" s="107">
        <v>2011</v>
      </c>
      <c r="B15" s="1607">
        <v>650</v>
      </c>
      <c r="C15" s="1607">
        <v>50</v>
      </c>
      <c r="D15" s="1608">
        <f>+'SDE&amp;MEP tm 2012'!D$39/10+'SDE&amp;MEP tm 2012'!D$40/10</f>
        <v>78.085000000000008</v>
      </c>
      <c r="E15" s="1609">
        <f t="shared" si="1"/>
        <v>778.08500000000004</v>
      </c>
      <c r="F15" s="99"/>
      <c r="G15" s="103"/>
      <c r="H15" s="103"/>
      <c r="I15" s="103"/>
      <c r="J15" s="105">
        <f>+' PV'!L107</f>
        <v>18.011111111111113</v>
      </c>
      <c r="K15" s="105"/>
      <c r="L15" s="105"/>
      <c r="M15" s="105"/>
      <c r="N15" s="103"/>
      <c r="O15" s="103"/>
      <c r="P15" s="105">
        <f>+Vervoer!L83</f>
        <v>101.73816961820518</v>
      </c>
      <c r="Q15" s="105">
        <f>+Vervoer!E23</f>
        <v>1177</v>
      </c>
      <c r="R15" s="1143"/>
      <c r="S15" s="270">
        <f>Energiebesparing!D42+Energiebesparing!B$92</f>
        <v>316.42344263281268</v>
      </c>
      <c r="T15" s="1246"/>
      <c r="U15" s="1144">
        <f t="shared" si="0"/>
        <v>1613.1727233621291</v>
      </c>
      <c r="V15" s="121"/>
      <c r="W15" s="121"/>
      <c r="X15" s="527"/>
      <c r="Y15" s="353"/>
      <c r="Z15" s="1640"/>
      <c r="AA15" s="125"/>
      <c r="AB15" s="622"/>
      <c r="AC15" s="622"/>
      <c r="AD15" s="622"/>
      <c r="AE15" s="16"/>
      <c r="AF15" s="623"/>
      <c r="AG15" s="608"/>
      <c r="AH15" s="608"/>
      <c r="AI15" s="8"/>
      <c r="AJ15" s="8"/>
    </row>
    <row r="16" spans="1:36" ht="15.75" x14ac:dyDescent="0.25">
      <c r="A16" s="107">
        <v>2012</v>
      </c>
      <c r="B16" s="1607">
        <v>650</v>
      </c>
      <c r="C16" s="1607">
        <v>50</v>
      </c>
      <c r="D16" s="1608">
        <f>+'SDE&amp;MEP tm 2012'!D$39/10+'SDE&amp;MEP tm 2012'!D$40/10</f>
        <v>78.085000000000008</v>
      </c>
      <c r="E16" s="1609">
        <f t="shared" si="1"/>
        <v>778.08500000000004</v>
      </c>
      <c r="F16" s="99"/>
      <c r="G16" s="103"/>
      <c r="H16" s="103"/>
      <c r="I16" s="103"/>
      <c r="J16" s="105">
        <f>+' PV'!L108</f>
        <v>59.222222222222229</v>
      </c>
      <c r="K16" s="105"/>
      <c r="L16" s="105"/>
      <c r="M16" s="105"/>
      <c r="N16" s="103"/>
      <c r="O16" s="103"/>
      <c r="P16" s="105">
        <f>+Vervoer!L84</f>
        <v>118.5470845986043</v>
      </c>
      <c r="Q16" s="105">
        <f>+Vervoer!E24</f>
        <v>1425</v>
      </c>
      <c r="R16" s="1143"/>
      <c r="S16" s="270">
        <f>Energiebesparing!D43+Energiebesparing!B$92</f>
        <v>340.38162353765051</v>
      </c>
      <c r="T16" s="1246"/>
      <c r="U16" s="1144">
        <f t="shared" si="0"/>
        <v>1943.1509303584771</v>
      </c>
      <c r="V16" s="121"/>
      <c r="W16" s="121"/>
      <c r="X16" s="527"/>
      <c r="Y16" s="1146"/>
      <c r="Z16" s="1761"/>
      <c r="AA16" s="1762"/>
      <c r="AB16" s="651"/>
      <c r="AC16" s="651"/>
      <c r="AD16" s="622"/>
      <c r="AE16" s="16"/>
      <c r="AF16" s="622"/>
      <c r="AG16" s="608"/>
      <c r="AH16" s="608"/>
      <c r="AI16" s="608"/>
      <c r="AJ16" s="8"/>
    </row>
    <row r="17" spans="1:36" ht="15.75" x14ac:dyDescent="0.25">
      <c r="A17" s="107">
        <v>2013</v>
      </c>
      <c r="B17" s="1607">
        <v>500</v>
      </c>
      <c r="C17" s="1607">
        <v>100</v>
      </c>
      <c r="D17" s="1608">
        <f>+'SDE&amp;MEP tm 2012'!D$39/10+'SDE&amp;MEP tm 2012'!D$40/10</f>
        <v>78.085000000000008</v>
      </c>
      <c r="E17" s="1609">
        <f t="shared" si="1"/>
        <v>678.08500000000004</v>
      </c>
      <c r="F17" s="99">
        <v>0</v>
      </c>
      <c r="G17" s="105">
        <f>+Wind!R24</f>
        <v>41.888000000000005</v>
      </c>
      <c r="H17" s="105">
        <f>+Wind!R76</f>
        <v>0</v>
      </c>
      <c r="I17" s="105"/>
      <c r="J17" s="105">
        <f>+' PV'!L109</f>
        <v>73.684407382550347</v>
      </c>
      <c r="K17" s="270">
        <f>+Warmte!E10</f>
        <v>0</v>
      </c>
      <c r="L17" s="270">
        <f>+Warmte!E45</f>
        <v>0</v>
      </c>
      <c r="M17" s="270">
        <f>+Warmte!E81</f>
        <v>0</v>
      </c>
      <c r="N17" s="105">
        <f>+Biomassa!O24</f>
        <v>0</v>
      </c>
      <c r="O17" s="105">
        <f>+Biomassa!E59</f>
        <v>0</v>
      </c>
      <c r="P17" s="105">
        <f>+Vervoer!L85</f>
        <v>114.12368591955192</v>
      </c>
      <c r="Q17" s="105">
        <f>+Vervoer!E25</f>
        <v>1535</v>
      </c>
      <c r="R17" s="1143">
        <f>+Wind!D111+('Lijst maatregelen EA'!D$62+'Lijst maatregelen EA'!D$65)/8</f>
        <v>827.66899999999998</v>
      </c>
      <c r="S17" s="270">
        <f>SUM(Resultaatmatrix!E$5:'Resultaatmatrix'!E$22)/8+Energiebesparing!D44+Energiebesparing!B$92</f>
        <v>418.45764756316646</v>
      </c>
      <c r="T17" s="105">
        <f>(SUM(Resultaatmatrix!E$64:'Resultaatmatrix'!E$82)-SUM(Resultaatmatrix!E$70:E$71))/8</f>
        <v>229.23974999999973</v>
      </c>
      <c r="U17" s="1144">
        <f t="shared" si="0"/>
        <v>3240.0624908652685</v>
      </c>
      <c r="V17" s="121"/>
      <c r="W17" s="121"/>
      <c r="X17" s="527"/>
      <c r="Y17" s="1146"/>
      <c r="Z17" s="1761"/>
      <c r="AA17" s="1761"/>
      <c r="AB17" s="652"/>
      <c r="AC17" s="652"/>
      <c r="AD17" s="624"/>
      <c r="AE17" s="16"/>
      <c r="AF17" s="608"/>
      <c r="AG17" s="608"/>
      <c r="AH17" s="608"/>
      <c r="AI17" s="8"/>
      <c r="AJ17" s="8"/>
    </row>
    <row r="18" spans="1:36" ht="15.75" x14ac:dyDescent="0.25">
      <c r="A18" s="107">
        <v>2014</v>
      </c>
      <c r="B18" s="1607">
        <v>300</v>
      </c>
      <c r="C18" s="1607">
        <v>170</v>
      </c>
      <c r="D18" s="1608">
        <f>+'SDE&amp;MEP tm 2012'!D$39/10+'SDE&amp;MEP tm 2012'!D$40/10</f>
        <v>78.085000000000008</v>
      </c>
      <c r="E18" s="1609">
        <f>SUM(B18:D18)</f>
        <v>548.08500000000004</v>
      </c>
      <c r="F18" s="99">
        <f t="shared" ref="F18:F39" si="2">+F17</f>
        <v>0</v>
      </c>
      <c r="G18" s="105">
        <f>+Wind!R25</f>
        <v>64.2928</v>
      </c>
      <c r="H18" s="105">
        <f>+Wind!R77</f>
        <v>0</v>
      </c>
      <c r="I18" s="105">
        <f>+' PV'!O62</f>
        <v>3.9</v>
      </c>
      <c r="J18" s="105">
        <f>+' PV'!L110</f>
        <v>120.53457776717556</v>
      </c>
      <c r="K18" s="270">
        <f>+Warmte!E11</f>
        <v>1.4404761904761905</v>
      </c>
      <c r="L18" s="270">
        <f>+Warmte!E46</f>
        <v>9.8214285714285694</v>
      </c>
      <c r="M18" s="270">
        <f>+Warmte!E82</f>
        <v>3.1746031746031744</v>
      </c>
      <c r="N18" s="105">
        <f>+Biomassa!O25</f>
        <v>0</v>
      </c>
      <c r="O18" s="105">
        <f>+Biomassa!E60</f>
        <v>43.923571428571421</v>
      </c>
      <c r="P18" s="105">
        <f>+Vervoer!L86</f>
        <v>131.81728063576148</v>
      </c>
      <c r="Q18" s="105">
        <f>+Vervoer!E26</f>
        <v>662.46</v>
      </c>
      <c r="R18" s="1143">
        <f>+Wind!D112+('Lijst maatregelen EA'!D$62+'Lijst maatregelen EA'!D$65)/8</f>
        <v>835.90359999999998</v>
      </c>
      <c r="S18" s="270">
        <f>SUM(Resultaatmatrix!E$5:'Resultaatmatrix'!E$22)/8+Energiebesparing!D45+Energiebesparing!B$92</f>
        <v>445.9701919034697</v>
      </c>
      <c r="T18" s="105">
        <f>(SUM(Resultaatmatrix!E$64:'Resultaatmatrix'!E$82)-SUM(Resultaatmatrix!E$70:E$71))/8</f>
        <v>229.23974999999973</v>
      </c>
      <c r="U18" s="1144">
        <f t="shared" si="0"/>
        <v>2552.4782796714858</v>
      </c>
      <c r="V18" s="121"/>
      <c r="W18" s="121"/>
      <c r="X18" s="527"/>
      <c r="Y18" s="1146"/>
      <c r="Z18" s="1761"/>
      <c r="AA18" s="1761"/>
      <c r="AB18" s="652"/>
      <c r="AC18" s="652"/>
      <c r="AD18" s="624"/>
      <c r="AE18" s="16"/>
      <c r="AF18" s="624"/>
      <c r="AG18" s="608"/>
      <c r="AH18" s="608"/>
      <c r="AI18" s="608"/>
      <c r="AJ18" s="8"/>
    </row>
    <row r="19" spans="1:36" ht="15.75" x14ac:dyDescent="0.25">
      <c r="A19" s="107">
        <v>2015</v>
      </c>
      <c r="B19" s="1607">
        <v>200</v>
      </c>
      <c r="C19" s="1607">
        <v>320</v>
      </c>
      <c r="D19" s="1608">
        <f>+'SDE&amp;MEP tm 2012'!D$39/10+'SDE&amp;MEP tm 2012'!D$40/10</f>
        <v>78.085000000000008</v>
      </c>
      <c r="E19" s="1609">
        <f t="shared" si="1"/>
        <v>598.08500000000004</v>
      </c>
      <c r="F19" s="99">
        <f t="shared" si="2"/>
        <v>0</v>
      </c>
      <c r="G19" s="105">
        <f>+Wind!R26</f>
        <v>131.46520000000001</v>
      </c>
      <c r="H19" s="105">
        <f>+Wind!R78</f>
        <v>46.643999999999998</v>
      </c>
      <c r="I19" s="105">
        <f>+' PV'!O63</f>
        <v>12.1</v>
      </c>
      <c r="J19" s="105">
        <f>+' PV'!L111</f>
        <v>168.3103683168317</v>
      </c>
      <c r="K19" s="270">
        <f>+Warmte!E12</f>
        <v>2.8809523809523809</v>
      </c>
      <c r="L19" s="270">
        <f>+Warmte!E47</f>
        <v>19.642857142857139</v>
      </c>
      <c r="M19" s="270">
        <f>+Warmte!E83</f>
        <v>6.3492063492063489</v>
      </c>
      <c r="N19" s="105">
        <f>+Biomassa!O26</f>
        <v>40.472222222222229</v>
      </c>
      <c r="O19" s="105">
        <f>+Biomassa!E61</f>
        <v>87.847142857142842</v>
      </c>
      <c r="P19" s="105">
        <f>+Vervoer!L87</f>
        <v>117.66240486279378</v>
      </c>
      <c r="Q19" s="105">
        <f>+Vervoer!E27</f>
        <v>203.26499999999999</v>
      </c>
      <c r="R19" s="1143">
        <f>+Wind!D113+('Lijst maatregelen EA'!D$62+'Lijst maatregelen EA'!D$65)/8</f>
        <v>871.36236874999997</v>
      </c>
      <c r="S19" s="270">
        <f>SUM(Resultaatmatrix!E$5:'Resultaatmatrix'!E$22)/8+Energiebesparing!D46+Energiebesparing!B$92</f>
        <v>496.24715972856717</v>
      </c>
      <c r="T19" s="105">
        <f>(SUM(Resultaatmatrix!E$64:'Resultaatmatrix'!E$82)-SUM(Resultaatmatrix!E$70:E$71))/8</f>
        <v>229.23974999999973</v>
      </c>
      <c r="U19" s="1144">
        <f t="shared" si="0"/>
        <v>2433.4886326105734</v>
      </c>
      <c r="V19" s="121"/>
      <c r="W19" s="121"/>
      <c r="X19" s="527"/>
      <c r="Y19" s="1146"/>
      <c r="Z19" s="1761"/>
      <c r="AA19" s="1761"/>
      <c r="AB19" s="652"/>
      <c r="AC19" s="652"/>
      <c r="AD19" s="624"/>
      <c r="AE19" s="16"/>
      <c r="AF19" s="624"/>
      <c r="AG19" s="608"/>
      <c r="AH19" s="608"/>
      <c r="AI19" s="608"/>
      <c r="AJ19" s="8"/>
    </row>
    <row r="20" spans="1:36" ht="15.75" x14ac:dyDescent="0.25">
      <c r="A20" s="107">
        <v>2016</v>
      </c>
      <c r="B20" s="1607">
        <v>200</v>
      </c>
      <c r="C20" s="1607">
        <v>600</v>
      </c>
      <c r="D20" s="1608">
        <f>+'SDE&amp;MEP tm 2012'!D$39/10+'SDE&amp;MEP tm 2012'!D$40/10</f>
        <v>78.085000000000008</v>
      </c>
      <c r="E20" s="1609">
        <f t="shared" si="1"/>
        <v>878.08500000000004</v>
      </c>
      <c r="F20" s="99">
        <f t="shared" si="2"/>
        <v>0</v>
      </c>
      <c r="G20" s="105">
        <f>+Wind!R27</f>
        <v>234.54400000000004</v>
      </c>
      <c r="H20" s="105">
        <f>+Wind!R79</f>
        <v>46.643999999999998</v>
      </c>
      <c r="I20" s="105">
        <f>+' PV'!O64</f>
        <v>16.79</v>
      </c>
      <c r="J20" s="105">
        <f>+' PV'!L112</f>
        <v>199.21286653465347</v>
      </c>
      <c r="K20" s="270">
        <f>+Warmte!E13</f>
        <v>4.3214285714285721</v>
      </c>
      <c r="L20" s="270">
        <f>+Warmte!E48</f>
        <v>29.464285714285708</v>
      </c>
      <c r="M20" s="270">
        <f>+Warmte!E84</f>
        <v>9.5238095238095237</v>
      </c>
      <c r="N20" s="105">
        <f>+Biomassa!O27</f>
        <v>80.944444444444457</v>
      </c>
      <c r="O20" s="105">
        <f>+Biomassa!E62</f>
        <v>131.77071428571426</v>
      </c>
      <c r="P20" s="105">
        <f>+Vervoer!L88</f>
        <v>131.81728063576148</v>
      </c>
      <c r="Q20" s="105">
        <f>+Vervoer!E28</f>
        <v>170.95500000000001</v>
      </c>
      <c r="R20" s="1143">
        <f>+Wind!D114+('Lijst maatregelen EA'!D$62+'Lijst maatregelen EA'!D$65)/8</f>
        <v>915.89421874999994</v>
      </c>
      <c r="S20" s="270">
        <f>SUM(Resultaatmatrix!E$5:'Resultaatmatrix'!E$22)/8+Energiebesparing!D47+Energiebesparing!B$92</f>
        <v>599.86006341878078</v>
      </c>
      <c r="T20" s="105">
        <f>(SUM(Resultaatmatrix!E$64:'Resultaatmatrix'!E$82)-SUM(Resultaatmatrix!E$70:E$71))/8</f>
        <v>229.23974999999973</v>
      </c>
      <c r="U20" s="1144">
        <f t="shared" si="0"/>
        <v>2800.9818618788777</v>
      </c>
      <c r="V20" s="121"/>
      <c r="W20" s="121"/>
      <c r="X20" s="527"/>
      <c r="Y20" s="1146"/>
      <c r="Z20" s="1761"/>
      <c r="AA20" s="1761"/>
      <c r="AB20" s="652"/>
      <c r="AC20" s="652"/>
      <c r="AD20" s="624"/>
      <c r="AE20" s="16"/>
      <c r="AF20" s="624"/>
      <c r="AG20" s="608"/>
      <c r="AH20" s="608"/>
      <c r="AI20" s="608"/>
      <c r="AJ20" s="8"/>
    </row>
    <row r="21" spans="1:36" ht="15.75" x14ac:dyDescent="0.25">
      <c r="A21" s="107">
        <v>2017</v>
      </c>
      <c r="B21" s="1607">
        <v>150</v>
      </c>
      <c r="C21" s="1607">
        <v>600</v>
      </c>
      <c r="D21" s="1608">
        <f>+'SDE&amp;MEP tm 2012'!D$40/10</f>
        <v>42.195</v>
      </c>
      <c r="E21" s="1609">
        <f t="shared" si="1"/>
        <v>792.19500000000005</v>
      </c>
      <c r="F21" s="99">
        <f t="shared" si="2"/>
        <v>0</v>
      </c>
      <c r="G21" s="105">
        <f>+Wind!R28</f>
        <v>303.05860000000001</v>
      </c>
      <c r="H21" s="105">
        <f>+Wind!R80</f>
        <v>376.58400000000006</v>
      </c>
      <c r="I21" s="105">
        <f>+' PV'!O65</f>
        <v>21.48</v>
      </c>
      <c r="J21" s="105">
        <f>+' PV'!L113</f>
        <v>249.86251247524751</v>
      </c>
      <c r="K21" s="270">
        <f>+Warmte!E14</f>
        <v>5.7619047619047619</v>
      </c>
      <c r="L21" s="270">
        <f>+Warmte!E49</f>
        <v>39.285714285714278</v>
      </c>
      <c r="M21" s="270">
        <f>+Warmte!E85</f>
        <v>12.698412698412698</v>
      </c>
      <c r="N21" s="105">
        <f>+Biomassa!O28</f>
        <v>121.41666666666669</v>
      </c>
      <c r="O21" s="105">
        <f>+Biomassa!E63</f>
        <v>175.69428571428568</v>
      </c>
      <c r="P21" s="105">
        <f>+Vervoer!L89</f>
        <v>175.16658769047496</v>
      </c>
      <c r="Q21" s="105">
        <f>+Vervoer!E29</f>
        <v>315</v>
      </c>
      <c r="R21" s="1143">
        <f>+Wind!D115+('Lijst maatregelen EA'!D$62+'Lijst maatregelen EA'!D$65)/8+'Lijst maatregelen EA'!F$38/5</f>
        <v>1613.68748125</v>
      </c>
      <c r="S21" s="270">
        <f>SUM(Resultaatmatrix!E$5:'Resultaatmatrix'!E$22)/8+Energiebesparing!D48+Energiebesparing!B$92</f>
        <v>623.23392152261226</v>
      </c>
      <c r="T21" s="105">
        <f>(SUM(Resultaatmatrix!E$64:'Resultaatmatrix'!E$82)-SUM(Resultaatmatrix!E$70:E$71))/8</f>
        <v>229.23974999999973</v>
      </c>
      <c r="U21" s="1144">
        <f t="shared" si="0"/>
        <v>4262.1698370653185</v>
      </c>
      <c r="V21" s="121"/>
      <c r="W21" s="121"/>
      <c r="X21" s="527"/>
      <c r="Y21" s="125"/>
      <c r="Z21" s="102"/>
      <c r="AA21" s="125"/>
      <c r="AB21" s="622"/>
      <c r="AC21" s="622"/>
      <c r="AD21" s="622"/>
      <c r="AE21" s="607"/>
      <c r="AF21" s="608"/>
      <c r="AG21" s="608"/>
      <c r="AH21" s="8"/>
      <c r="AI21" s="8"/>
      <c r="AJ21" s="8"/>
    </row>
    <row r="22" spans="1:36" ht="15.75" x14ac:dyDescent="0.25">
      <c r="A22" s="107">
        <v>2018</v>
      </c>
      <c r="B22" s="1607">
        <v>100</v>
      </c>
      <c r="C22" s="1607">
        <v>600</v>
      </c>
      <c r="D22" s="1608"/>
      <c r="E22" s="1609">
        <f>SUM(B22:D22)</f>
        <v>700</v>
      </c>
      <c r="F22" s="99">
        <f t="shared" si="2"/>
        <v>0</v>
      </c>
      <c r="G22" s="105">
        <f>+Wind!R29</f>
        <v>371.57320000000004</v>
      </c>
      <c r="H22" s="105">
        <f>+Wind!R81</f>
        <v>376.58400000000006</v>
      </c>
      <c r="I22" s="105">
        <f>+' PV'!O66</f>
        <v>26.17</v>
      </c>
      <c r="J22" s="105">
        <f>+' PV'!L114</f>
        <v>297.14376237623759</v>
      </c>
      <c r="K22" s="270">
        <f>+Warmte!E15</f>
        <v>7.2023809523809526</v>
      </c>
      <c r="L22" s="270">
        <f>+Warmte!E50</f>
        <v>49.107142857142854</v>
      </c>
      <c r="M22" s="270">
        <f>+Warmte!E86</f>
        <v>15.873015873015872</v>
      </c>
      <c r="N22" s="105">
        <f>+Biomassa!O29</f>
        <v>672.30555555555566</v>
      </c>
      <c r="O22" s="105">
        <f>+Biomassa!E64</f>
        <v>219.61785714285708</v>
      </c>
      <c r="P22" s="105">
        <f>+Vervoer!L90</f>
        <v>218.51589474518852</v>
      </c>
      <c r="Q22" s="105">
        <f>+Vervoer!E30</f>
        <v>315</v>
      </c>
      <c r="R22" s="1143">
        <f>+Wind!D116+('Lijst maatregelen EA'!D$62+'Lijst maatregelen EA'!D$65)/8+'Lijst maatregelen EA'!F$38/5</f>
        <v>1653.8582437499999</v>
      </c>
      <c r="S22" s="270">
        <f>SUM(Resultaatmatrix!E$5:'Resultaatmatrix'!E$22)/8+Energiebesparing!D49+Energiebesparing!B$92</f>
        <v>654.09889871168252</v>
      </c>
      <c r="T22" s="105">
        <f>(SUM(Resultaatmatrix!E$64:'Resultaatmatrix'!E$82)-SUM(Resultaatmatrix!E$70:E$71))/8</f>
        <v>229.23974999999973</v>
      </c>
      <c r="U22" s="1144">
        <f t="shared" si="0"/>
        <v>5106.2897019640604</v>
      </c>
      <c r="V22" s="121"/>
      <c r="W22" s="121"/>
      <c r="X22" s="527"/>
      <c r="Y22" s="125"/>
      <c r="Z22" s="102"/>
      <c r="AA22" s="125"/>
      <c r="AB22" s="17"/>
      <c r="AC22" s="17"/>
      <c r="AD22" s="17"/>
      <c r="AE22" s="625"/>
      <c r="AF22" s="8"/>
      <c r="AG22" s="8"/>
      <c r="AH22" s="8"/>
      <c r="AI22" s="8"/>
      <c r="AJ22" s="8"/>
    </row>
    <row r="23" spans="1:36" ht="15.75" x14ac:dyDescent="0.25">
      <c r="A23" s="107">
        <v>2019</v>
      </c>
      <c r="B23" s="1607">
        <v>100</v>
      </c>
      <c r="C23" s="1607">
        <v>600</v>
      </c>
      <c r="D23" s="1608"/>
      <c r="E23" s="1609">
        <f t="shared" si="1"/>
        <v>700</v>
      </c>
      <c r="F23" s="99">
        <f t="shared" si="2"/>
        <v>0</v>
      </c>
      <c r="G23" s="105">
        <f>+Wind!R30</f>
        <v>440.08780000000002</v>
      </c>
      <c r="H23" s="105">
        <f>+Wind!R82</f>
        <v>376.58400000000006</v>
      </c>
      <c r="I23" s="105">
        <f>+' PV'!O67</f>
        <v>30.86</v>
      </c>
      <c r="J23" s="105">
        <f>+' PV'!L115</f>
        <v>346.57188118811882</v>
      </c>
      <c r="K23" s="270">
        <f>+Warmte!E16</f>
        <v>8.6428571428571441</v>
      </c>
      <c r="L23" s="270">
        <f>+Warmte!E51</f>
        <v>58.928571428571416</v>
      </c>
      <c r="M23" s="270">
        <f>+Warmte!E87</f>
        <v>19.047619047619044</v>
      </c>
      <c r="N23" s="105">
        <f>+Biomassa!O30</f>
        <v>712.77777777777783</v>
      </c>
      <c r="O23" s="105">
        <f>+Biomassa!E65</f>
        <v>263.54142857142853</v>
      </c>
      <c r="P23" s="105">
        <f>+Vervoer!L91</f>
        <v>261.86520179990202</v>
      </c>
      <c r="Q23" s="105">
        <f>+Vervoer!E31</f>
        <v>315</v>
      </c>
      <c r="R23" s="1143">
        <f>+Wind!D117+('Lijst maatregelen EA'!D$62+'Lijst maatregelen EA'!D$65)/8+'Lijst maatregelen EA'!F$38/5</f>
        <v>1694.0290062500001</v>
      </c>
      <c r="S23" s="270">
        <f>SUM(Resultaatmatrix!E$5:'Resultaatmatrix'!E$22)/8+Energiebesparing!D50+Energiebesparing!B$92</f>
        <v>684.96387590075267</v>
      </c>
      <c r="T23" s="105">
        <f>(SUM(Resultaatmatrix!E$64:'Resultaatmatrix'!E$82)-SUM(Resultaatmatrix!E$70:E$71))/8</f>
        <v>229.23974999999973</v>
      </c>
      <c r="U23" s="1144">
        <f t="shared" si="0"/>
        <v>5442.1397691070279</v>
      </c>
      <c r="V23" s="121"/>
      <c r="W23" s="121"/>
      <c r="X23" s="527"/>
      <c r="Y23" s="83"/>
      <c r="Z23" s="65"/>
      <c r="AA23" s="83"/>
      <c r="AB23" s="3"/>
      <c r="AC23" s="3"/>
      <c r="AD23" s="3"/>
      <c r="AE23" s="14"/>
    </row>
    <row r="24" spans="1:36" ht="15.75" x14ac:dyDescent="0.25">
      <c r="A24" s="107">
        <v>2020</v>
      </c>
      <c r="B24" s="1610">
        <v>60</v>
      </c>
      <c r="C24" s="1607">
        <v>600</v>
      </c>
      <c r="D24" s="1608"/>
      <c r="E24" s="1609">
        <f t="shared" si="1"/>
        <v>660</v>
      </c>
      <c r="F24" s="99">
        <f t="shared" si="2"/>
        <v>0</v>
      </c>
      <c r="G24" s="105">
        <f>+Wind!R31</f>
        <v>508.6024000000001</v>
      </c>
      <c r="H24" s="105">
        <f>+Wind!R83</f>
        <v>568.89300000000003</v>
      </c>
      <c r="I24" s="105">
        <f>+' PV'!O68</f>
        <v>35.549999999999997</v>
      </c>
      <c r="J24" s="105">
        <f>+' PV'!L116</f>
        <v>395.99999999999989</v>
      </c>
      <c r="K24" s="270">
        <f>+Warmte!E17</f>
        <v>10.083333333333334</v>
      </c>
      <c r="L24" s="270">
        <f>+Warmte!E52</f>
        <v>68.749999999999986</v>
      </c>
      <c r="M24" s="270">
        <f>+Warmte!E88</f>
        <v>22.222222222222225</v>
      </c>
      <c r="N24" s="105">
        <f>+Biomassa!O31</f>
        <v>753.25000000000011</v>
      </c>
      <c r="O24" s="105">
        <f>+Biomassa!E66</f>
        <v>307.46499999999997</v>
      </c>
      <c r="P24" s="105">
        <f>+Vervoer!L92</f>
        <v>305.21450885461547</v>
      </c>
      <c r="Q24" s="105">
        <f>+Vervoer!E32</f>
        <v>315</v>
      </c>
      <c r="R24" s="1143">
        <f>+Wind!D118+('Lijst maatregelen EA'!D$62+'Lijst maatregelen EA'!D$65)/8+'Lijst maatregelen EA'!F$38/5</f>
        <v>1866.7315187499999</v>
      </c>
      <c r="S24" s="270">
        <f>SUM(Resultaatmatrix!E$5:'Resultaatmatrix'!E$22)/8+Energiebesparing!D51+Energiebesparing!B$92</f>
        <v>715.82885308982304</v>
      </c>
      <c r="T24" s="105">
        <f>(SUM(Resultaatmatrix!E$64:'Resultaatmatrix'!E$82)-SUM(Resultaatmatrix!E$70:E$71))/8</f>
        <v>229.23974999999973</v>
      </c>
      <c r="U24" s="1144">
        <f t="shared" si="0"/>
        <v>6102.8305862499938</v>
      </c>
      <c r="V24" s="121"/>
      <c r="W24" s="121"/>
      <c r="X24" s="527"/>
      <c r="Y24" s="83"/>
      <c r="Z24" s="65"/>
      <c r="AA24" s="65"/>
      <c r="AE24" s="14"/>
    </row>
    <row r="25" spans="1:36" ht="15.75" x14ac:dyDescent="0.25">
      <c r="A25" s="107">
        <v>2021</v>
      </c>
      <c r="B25" s="1607"/>
      <c r="C25" s="1607">
        <v>500</v>
      </c>
      <c r="D25" s="1608"/>
      <c r="E25" s="1609">
        <f t="shared" si="1"/>
        <v>500</v>
      </c>
      <c r="F25" s="99">
        <f t="shared" si="2"/>
        <v>0</v>
      </c>
      <c r="G25" s="105">
        <f>+Wind!R32</f>
        <v>508.6024000000001</v>
      </c>
      <c r="H25" s="105">
        <f>+Wind!R84</f>
        <v>629.2962</v>
      </c>
      <c r="I25" s="105">
        <f>+' PV'!O69</f>
        <v>35.549999999999997</v>
      </c>
      <c r="J25" s="105">
        <f>+' PV'!L117</f>
        <v>395.99999999999989</v>
      </c>
      <c r="K25" s="270">
        <f>+Warmte!E18</f>
        <v>10.083333333333334</v>
      </c>
      <c r="L25" s="270">
        <f>+Warmte!E53</f>
        <v>68.749999999999986</v>
      </c>
      <c r="M25" s="270">
        <f>+Warmte!E89</f>
        <v>22.222222222222225</v>
      </c>
      <c r="N25" s="105">
        <f>+Biomassa!O32</f>
        <v>753.25000000000011</v>
      </c>
      <c r="O25" s="105">
        <f>+Biomassa!E67</f>
        <v>307.46499999999997</v>
      </c>
      <c r="P25" s="105">
        <f>+Vervoer!L93</f>
        <v>304.32982911880504</v>
      </c>
      <c r="Q25" s="105"/>
      <c r="R25" s="1143">
        <f>+Wind!D119+'Lijst maatregelen EA'!F$38/5</f>
        <v>1121.8419187499999</v>
      </c>
      <c r="S25" s="270">
        <f>Energiebesparing!D52</f>
        <v>567.91558027889334</v>
      </c>
      <c r="T25" s="1246"/>
      <c r="U25" s="1144">
        <f t="shared" si="0"/>
        <v>4725.3064837032543</v>
      </c>
      <c r="V25" s="121"/>
      <c r="W25" s="121"/>
      <c r="X25" s="527"/>
      <c r="Y25" s="65"/>
      <c r="Z25" s="65"/>
      <c r="AA25" s="83"/>
      <c r="AB25" s="3"/>
      <c r="AC25" s="3"/>
      <c r="AD25" s="3"/>
      <c r="AE25" s="14"/>
    </row>
    <row r="26" spans="1:36" ht="15.75" x14ac:dyDescent="0.25">
      <c r="A26" s="107">
        <v>2022</v>
      </c>
      <c r="B26" s="1607"/>
      <c r="C26" s="1607">
        <v>500</v>
      </c>
      <c r="D26" s="1608"/>
      <c r="E26" s="1609">
        <f t="shared" si="1"/>
        <v>500</v>
      </c>
      <c r="F26" s="99">
        <f t="shared" si="2"/>
        <v>0</v>
      </c>
      <c r="G26" s="105">
        <f>+Wind!R33</f>
        <v>508.6024000000001</v>
      </c>
      <c r="H26" s="105">
        <f>+Wind!R85</f>
        <v>689.69940000000008</v>
      </c>
      <c r="I26" s="105">
        <f>+' PV'!O70</f>
        <v>35.549999999999997</v>
      </c>
      <c r="J26" s="105">
        <f>+' PV'!L118</f>
        <v>395.99999999999989</v>
      </c>
      <c r="K26" s="270">
        <f>+Warmte!E19</f>
        <v>10.083333333333334</v>
      </c>
      <c r="L26" s="270">
        <f>+Warmte!E54</f>
        <v>68.749999999999986</v>
      </c>
      <c r="M26" s="270">
        <f>+Warmte!E90</f>
        <v>22.222222222222225</v>
      </c>
      <c r="N26" s="105">
        <f>+Biomassa!O33</f>
        <v>753.25000000000011</v>
      </c>
      <c r="O26" s="105">
        <f>+Biomassa!E68</f>
        <v>307.46499999999997</v>
      </c>
      <c r="P26" s="105">
        <f>+Vervoer!L94</f>
        <v>303.44514938299443</v>
      </c>
      <c r="Q26" s="105"/>
      <c r="R26" s="1143">
        <f>+Wind!D120</f>
        <v>589.45231875000013</v>
      </c>
      <c r="S26" s="270">
        <f>Energiebesparing!D53</f>
        <v>567.91558027889334</v>
      </c>
      <c r="T26" s="1246"/>
      <c r="U26" s="936">
        <f t="shared" si="0"/>
        <v>4252.4354039674436</v>
      </c>
      <c r="V26" s="144"/>
      <c r="W26" s="121"/>
      <c r="X26" s="527"/>
      <c r="Y26" s="83"/>
      <c r="Z26" s="65"/>
      <c r="AA26" s="83"/>
      <c r="AB26" s="3"/>
      <c r="AC26" s="3"/>
      <c r="AD26" s="3"/>
      <c r="AE26" s="14"/>
    </row>
    <row r="27" spans="1:36" ht="15.75" x14ac:dyDescent="0.25">
      <c r="A27" s="107">
        <v>2023</v>
      </c>
      <c r="B27" s="1607"/>
      <c r="C27" s="1607">
        <v>475</v>
      </c>
      <c r="D27" s="1608"/>
      <c r="E27" s="1609">
        <f t="shared" si="1"/>
        <v>475</v>
      </c>
      <c r="F27" s="99">
        <f t="shared" si="2"/>
        <v>0</v>
      </c>
      <c r="G27" s="105">
        <f>+Wind!R34</f>
        <v>508.6024000000001</v>
      </c>
      <c r="H27" s="105">
        <f>+Wind!R86</f>
        <v>750.10260000000005</v>
      </c>
      <c r="I27" s="105">
        <f>+' PV'!O71</f>
        <v>35.549999999999997</v>
      </c>
      <c r="J27" s="105">
        <f>+' PV'!L119</f>
        <v>395.99999999999989</v>
      </c>
      <c r="K27" s="270">
        <f>+Warmte!E20</f>
        <v>10.083333333333334</v>
      </c>
      <c r="L27" s="270">
        <f>+Warmte!E55</f>
        <v>68.749999999999986</v>
      </c>
      <c r="M27" s="270">
        <f>+Warmte!E91</f>
        <v>22.222222222222225</v>
      </c>
      <c r="N27" s="105">
        <f>+Biomassa!O34</f>
        <v>753.25000000000011</v>
      </c>
      <c r="O27" s="105">
        <f>+Biomassa!E69</f>
        <v>307.46499999999997</v>
      </c>
      <c r="P27" s="105">
        <f>+Vervoer!L95</f>
        <v>302.56046964718394</v>
      </c>
      <c r="Q27" s="105"/>
      <c r="R27" s="1143">
        <f>+Wind!D121</f>
        <v>657.06271875000004</v>
      </c>
      <c r="S27" s="270">
        <f>Energiebesparing!D54</f>
        <v>567.91558027889334</v>
      </c>
      <c r="T27" s="1246"/>
      <c r="U27" s="936">
        <f t="shared" si="0"/>
        <v>4379.5643242316328</v>
      </c>
      <c r="V27" s="144"/>
      <c r="W27" s="121"/>
      <c r="X27" s="527"/>
      <c r="Y27" s="83"/>
      <c r="Z27" s="65"/>
      <c r="AA27" s="83"/>
      <c r="AB27" s="3"/>
      <c r="AC27" s="3"/>
      <c r="AD27" s="3"/>
      <c r="AE27" s="14"/>
    </row>
    <row r="28" spans="1:36" ht="15.75" x14ac:dyDescent="0.25">
      <c r="A28" s="107">
        <v>2024</v>
      </c>
      <c r="B28" s="1611"/>
      <c r="C28" s="1607">
        <v>450</v>
      </c>
      <c r="D28" s="1608"/>
      <c r="E28" s="1609">
        <f t="shared" si="1"/>
        <v>450</v>
      </c>
      <c r="F28" s="99">
        <f t="shared" si="2"/>
        <v>0</v>
      </c>
      <c r="G28" s="105">
        <f>+Wind!R35</f>
        <v>508.6024000000001</v>
      </c>
      <c r="H28" s="105">
        <f>+Wind!R87</f>
        <v>750.10260000000005</v>
      </c>
      <c r="I28" s="105">
        <f>+' PV'!O72</f>
        <v>35.549999999999997</v>
      </c>
      <c r="J28" s="105">
        <f>+' PV'!L120</f>
        <v>395.99999999999989</v>
      </c>
      <c r="K28" s="270">
        <f>+Warmte!E21</f>
        <v>10.083333333333334</v>
      </c>
      <c r="L28" s="270">
        <f>+Warmte!E56</f>
        <v>68.749999999999986</v>
      </c>
      <c r="M28" s="270">
        <f>+Warmte!E92</f>
        <v>22.222222222222225</v>
      </c>
      <c r="N28" s="105">
        <f>+Biomassa!O35</f>
        <v>753.25000000000011</v>
      </c>
      <c r="O28" s="105">
        <f>+Biomassa!E70</f>
        <v>307.46499999999997</v>
      </c>
      <c r="P28" s="105">
        <f>+Vervoer!L96</f>
        <v>300.91749299496473</v>
      </c>
      <c r="Q28" s="105"/>
      <c r="R28" s="1143">
        <f>+Wind!D122</f>
        <v>657.06271875000004</v>
      </c>
      <c r="S28" s="270">
        <f>Energiebesparing!D55</f>
        <v>567.91558027889334</v>
      </c>
      <c r="T28" s="1246"/>
      <c r="U28" s="936">
        <f t="shared" si="0"/>
        <v>4377.921347579414</v>
      </c>
      <c r="V28" s="144"/>
      <c r="W28" s="121"/>
      <c r="X28" s="527"/>
      <c r="Y28" s="83"/>
      <c r="Z28" s="65"/>
      <c r="AA28" s="83"/>
      <c r="AB28" s="3"/>
      <c r="AC28" s="3"/>
      <c r="AD28" s="3"/>
      <c r="AE28" s="14"/>
    </row>
    <row r="29" spans="1:36" ht="15.75" x14ac:dyDescent="0.25">
      <c r="A29" s="107">
        <v>2025</v>
      </c>
      <c r="B29" s="1611"/>
      <c r="C29" s="1607">
        <v>425</v>
      </c>
      <c r="D29" s="1608"/>
      <c r="E29" s="1609">
        <f t="shared" si="1"/>
        <v>425</v>
      </c>
      <c r="F29" s="99">
        <f t="shared" si="2"/>
        <v>0</v>
      </c>
      <c r="G29" s="105">
        <f>+Wind!R36</f>
        <v>508.6024000000001</v>
      </c>
      <c r="H29" s="105">
        <f>+Wind!R88</f>
        <v>750.10260000000005</v>
      </c>
      <c r="I29" s="105">
        <f>+' PV'!O73</f>
        <v>35.549999999999997</v>
      </c>
      <c r="J29" s="105">
        <f>+' PV'!L121</f>
        <v>395.99999999999989</v>
      </c>
      <c r="K29" s="270">
        <f>+Warmte!E22</f>
        <v>10.083333333333334</v>
      </c>
      <c r="L29" s="270">
        <f>+Warmte!E57</f>
        <v>68.749999999999986</v>
      </c>
      <c r="M29" s="270">
        <f>+Warmte!E93</f>
        <v>22.222222222222225</v>
      </c>
      <c r="N29" s="105">
        <f>+Biomassa!O36</f>
        <v>753.25000000000011</v>
      </c>
      <c r="O29" s="105">
        <f>+Biomassa!E71</f>
        <v>307.46499999999997</v>
      </c>
      <c r="P29" s="105">
        <f>+Vervoer!L97</f>
        <v>299.2745163427453</v>
      </c>
      <c r="Q29" s="105"/>
      <c r="R29" s="1143">
        <f>+Wind!D123</f>
        <v>657.06271875000004</v>
      </c>
      <c r="S29" s="270">
        <f>Energiebesparing!D56</f>
        <v>567.91558027889334</v>
      </c>
      <c r="T29" s="1246"/>
      <c r="U29" s="936">
        <f t="shared" si="0"/>
        <v>4376.2783709271944</v>
      </c>
      <c r="V29" s="144"/>
      <c r="W29" s="121"/>
      <c r="X29" s="527"/>
      <c r="Y29" s="83"/>
      <c r="Z29" s="65"/>
      <c r="AA29" s="83"/>
      <c r="AB29" s="3"/>
      <c r="AC29" s="3"/>
      <c r="AD29" s="3"/>
      <c r="AE29" s="14"/>
    </row>
    <row r="30" spans="1:36" ht="15.75" x14ac:dyDescent="0.25">
      <c r="A30" s="107">
        <v>2026</v>
      </c>
      <c r="B30" s="1611"/>
      <c r="C30" s="1607">
        <v>400</v>
      </c>
      <c r="D30" s="1608"/>
      <c r="E30" s="1609">
        <f t="shared" si="1"/>
        <v>400</v>
      </c>
      <c r="F30" s="99">
        <f t="shared" si="2"/>
        <v>0</v>
      </c>
      <c r="G30" s="105">
        <f>+Wind!R37</f>
        <v>508.6024000000001</v>
      </c>
      <c r="H30" s="105">
        <f>+Wind!R89</f>
        <v>750.10260000000005</v>
      </c>
      <c r="I30" s="105">
        <f>+' PV'!O74</f>
        <v>35.549999999999997</v>
      </c>
      <c r="J30" s="105">
        <f>+' PV'!L122</f>
        <v>395.99999999999989</v>
      </c>
      <c r="K30" s="270">
        <f>+Warmte!E23</f>
        <v>10.083333333333334</v>
      </c>
      <c r="L30" s="270">
        <f>+Warmte!E58</f>
        <v>68.749999999999986</v>
      </c>
      <c r="M30" s="270">
        <f>+Warmte!E94</f>
        <v>22.222222222222225</v>
      </c>
      <c r="N30" s="105">
        <f>+Biomassa!O37</f>
        <v>242.83333333333337</v>
      </c>
      <c r="O30" s="105">
        <f>+Biomassa!E72</f>
        <v>307.46499999999997</v>
      </c>
      <c r="P30" s="105">
        <f>+Vervoer!L98</f>
        <v>297.63153969052576</v>
      </c>
      <c r="Q30" s="105"/>
      <c r="R30" s="1143">
        <f>+Wind!D124</f>
        <v>657.06271875000004</v>
      </c>
      <c r="S30" s="270">
        <f>Energiebesparing!D57</f>
        <v>567.91558027889334</v>
      </c>
      <c r="T30" s="1246"/>
      <c r="U30" s="936">
        <f t="shared" si="0"/>
        <v>3864.2187276083077</v>
      </c>
      <c r="V30" s="144"/>
      <c r="W30" s="121"/>
      <c r="X30" s="527"/>
      <c r="Y30" s="83"/>
      <c r="Z30" s="65"/>
      <c r="AA30" s="83"/>
      <c r="AB30" s="3"/>
      <c r="AC30" s="3"/>
      <c r="AD30" s="3"/>
      <c r="AE30" s="14"/>
    </row>
    <row r="31" spans="1:36" ht="15.75" x14ac:dyDescent="0.25">
      <c r="A31" s="107">
        <v>2027</v>
      </c>
      <c r="B31" s="1611"/>
      <c r="C31" s="1607">
        <v>375</v>
      </c>
      <c r="D31" s="1608"/>
      <c r="E31" s="1609">
        <f t="shared" si="1"/>
        <v>375</v>
      </c>
      <c r="F31" s="99">
        <f t="shared" si="2"/>
        <v>0</v>
      </c>
      <c r="G31" s="105">
        <f>+Wind!R38</f>
        <v>508.6024000000001</v>
      </c>
      <c r="H31" s="105">
        <f>+Wind!R90</f>
        <v>750.10260000000005</v>
      </c>
      <c r="I31" s="105">
        <f>+' PV'!O75</f>
        <v>35.549999999999997</v>
      </c>
      <c r="J31" s="105">
        <f>+' PV'!L123</f>
        <v>395.99999999999989</v>
      </c>
      <c r="K31" s="270">
        <f>+Warmte!E24</f>
        <v>10.083333333333334</v>
      </c>
      <c r="L31" s="270">
        <f>+Warmte!E59</f>
        <v>68.749999999999986</v>
      </c>
      <c r="M31" s="270">
        <f>+Warmte!E95</f>
        <v>22.222222222222225</v>
      </c>
      <c r="N31" s="105">
        <f>+Biomassa!O38</f>
        <v>242.83333333333337</v>
      </c>
      <c r="O31" s="105">
        <f>+Biomassa!E73</f>
        <v>307.46499999999997</v>
      </c>
      <c r="P31" s="105">
        <f>+Vervoer!L99</f>
        <v>295.98856303830632</v>
      </c>
      <c r="Q31" s="105"/>
      <c r="R31" s="1143">
        <f>+Wind!D125</f>
        <v>657.06271875000004</v>
      </c>
      <c r="S31" s="270">
        <f>Energiebesparing!D58</f>
        <v>567.91558027889334</v>
      </c>
      <c r="T31" s="1246"/>
      <c r="U31" s="936">
        <f t="shared" si="0"/>
        <v>3862.5757509560885</v>
      </c>
      <c r="V31" s="144"/>
      <c r="W31" s="121"/>
      <c r="X31" s="527"/>
      <c r="Y31" s="83"/>
      <c r="Z31" s="65"/>
      <c r="AA31" s="83"/>
      <c r="AB31" s="3"/>
      <c r="AC31" s="3"/>
      <c r="AD31" s="3"/>
      <c r="AE31" s="14"/>
    </row>
    <row r="32" spans="1:36" ht="15.75" x14ac:dyDescent="0.25">
      <c r="A32" s="107">
        <v>2028</v>
      </c>
      <c r="B32" s="1611"/>
      <c r="C32" s="1607">
        <v>350</v>
      </c>
      <c r="D32" s="1608"/>
      <c r="E32" s="1609">
        <f t="shared" si="1"/>
        <v>350</v>
      </c>
      <c r="F32" s="99">
        <f t="shared" si="2"/>
        <v>0</v>
      </c>
      <c r="G32" s="105">
        <f>+Wind!R39</f>
        <v>466.71440000000007</v>
      </c>
      <c r="H32" s="105">
        <f>+Wind!R91</f>
        <v>750.10260000000005</v>
      </c>
      <c r="I32" s="105">
        <f>+' PV'!O76</f>
        <v>34.15</v>
      </c>
      <c r="J32" s="105">
        <f>+' PV'!L124</f>
        <v>395.99999999999989</v>
      </c>
      <c r="K32" s="270">
        <f>+Warmte!E25</f>
        <v>10.083333333333334</v>
      </c>
      <c r="L32" s="270">
        <f>+Warmte!E60</f>
        <v>68.749999999999986</v>
      </c>
      <c r="M32" s="270">
        <f>+Warmte!E96</f>
        <v>22.222222222222225</v>
      </c>
      <c r="N32" s="105">
        <f>+Biomassa!O39</f>
        <v>242.83333333333337</v>
      </c>
      <c r="O32" s="105">
        <f>+Biomassa!E74</f>
        <v>307.46499999999997</v>
      </c>
      <c r="P32" s="105">
        <f>+Vervoer!L100</f>
        <v>294.34558638608701</v>
      </c>
      <c r="Q32" s="105"/>
      <c r="R32" s="1143">
        <f>+Wind!D126</f>
        <v>641.89371875000006</v>
      </c>
      <c r="S32" s="270">
        <f>Energiebesparing!D59</f>
        <v>567.91558027889334</v>
      </c>
      <c r="T32" s="1246"/>
      <c r="U32" s="936">
        <f t="shared" si="0"/>
        <v>3802.475774303869</v>
      </c>
      <c r="V32" s="144"/>
      <c r="W32" s="121"/>
      <c r="X32" s="527"/>
      <c r="Y32" s="83"/>
      <c r="Z32" s="65"/>
      <c r="AA32" s="83"/>
      <c r="AB32" s="3"/>
      <c r="AC32" s="3"/>
      <c r="AD32" s="3"/>
      <c r="AE32" s="14"/>
    </row>
    <row r="33" spans="1:35" ht="15.75" x14ac:dyDescent="0.25">
      <c r="A33" s="107">
        <v>2029</v>
      </c>
      <c r="B33" s="1611"/>
      <c r="C33" s="1607">
        <v>300</v>
      </c>
      <c r="D33" s="1608"/>
      <c r="E33" s="1609">
        <f>SUM(B33:D33)</f>
        <v>300</v>
      </c>
      <c r="F33" s="99">
        <f t="shared" si="2"/>
        <v>0</v>
      </c>
      <c r="G33" s="105">
        <f>+Wind!R40</f>
        <v>444.30960000000005</v>
      </c>
      <c r="H33" s="105">
        <f>+Wind!R92</f>
        <v>750.10260000000005</v>
      </c>
      <c r="I33" s="105">
        <f>+' PV'!O77</f>
        <v>31.65</v>
      </c>
      <c r="J33" s="105">
        <f>+' PV'!L125</f>
        <v>395.99999999999989</v>
      </c>
      <c r="K33" s="270">
        <f>+Warmte!E26</f>
        <v>8.6428571428571441</v>
      </c>
      <c r="L33" s="270">
        <f>+Warmte!E61</f>
        <v>58.928571428571416</v>
      </c>
      <c r="M33" s="270">
        <f>+Warmte!E97</f>
        <v>19.047619047619051</v>
      </c>
      <c r="N33" s="105">
        <f>+Biomassa!O40</f>
        <v>242.83333333333337</v>
      </c>
      <c r="O33" s="105">
        <f>+Biomassa!E75</f>
        <v>307.46499999999997</v>
      </c>
      <c r="P33" s="105">
        <f>+Vervoer!L101</f>
        <v>292.70260973386758</v>
      </c>
      <c r="Q33" s="105"/>
      <c r="R33" s="1143">
        <f>+Wind!D127</f>
        <v>633.65911874999995</v>
      </c>
      <c r="S33" s="270">
        <f>Energiebesparing!D60</f>
        <v>567.91558027889334</v>
      </c>
      <c r="T33" s="1246"/>
      <c r="U33" s="936">
        <f t="shared" si="0"/>
        <v>3753.2568897151418</v>
      </c>
      <c r="V33" s="144"/>
      <c r="W33" s="121"/>
      <c r="X33" s="527"/>
      <c r="Y33" s="83"/>
      <c r="Z33" s="65"/>
      <c r="AA33" s="83"/>
      <c r="AB33" s="3"/>
      <c r="AC33" s="3"/>
      <c r="AD33" s="3"/>
      <c r="AE33" s="14"/>
    </row>
    <row r="34" spans="1:35" ht="15.75" x14ac:dyDescent="0.25">
      <c r="A34" s="107">
        <v>2030</v>
      </c>
      <c r="B34" s="1611"/>
      <c r="C34" s="1607">
        <v>200</v>
      </c>
      <c r="D34" s="1608"/>
      <c r="E34" s="1609">
        <f t="shared" si="1"/>
        <v>200</v>
      </c>
      <c r="F34" s="99">
        <f t="shared" si="2"/>
        <v>0</v>
      </c>
      <c r="G34" s="105">
        <f>+Wind!R41</f>
        <v>377.13720000000006</v>
      </c>
      <c r="H34" s="105">
        <f>+Wind!R93</f>
        <v>703.45860000000005</v>
      </c>
      <c r="I34" s="105">
        <f>+' PV'!O78</f>
        <v>23.45</v>
      </c>
      <c r="J34" s="105">
        <f>+' PV'!L126</f>
        <v>395.99999999999989</v>
      </c>
      <c r="K34" s="270">
        <f>+Warmte!E27</f>
        <v>7.2023809523809526</v>
      </c>
      <c r="L34" s="270">
        <f>+Warmte!E62</f>
        <v>49.107142857142854</v>
      </c>
      <c r="M34" s="270">
        <f>+Warmte!E98</f>
        <v>15.873015873015877</v>
      </c>
      <c r="N34" s="105">
        <f>+Biomassa!O41</f>
        <v>242.83333333333337</v>
      </c>
      <c r="O34" s="105">
        <f>+Biomassa!E76</f>
        <v>307.46499999999997</v>
      </c>
      <c r="P34" s="105">
        <f>+Vervoer!L102</f>
        <v>291.05963308164775</v>
      </c>
      <c r="Q34" s="105"/>
      <c r="R34" s="1143">
        <f>+Wind!D128</f>
        <v>598.20034999999996</v>
      </c>
      <c r="S34" s="270">
        <f>Energiebesparing!D61</f>
        <v>567.91558027889334</v>
      </c>
      <c r="T34" s="1246"/>
      <c r="U34" s="936">
        <f t="shared" si="0"/>
        <v>3579.7022363764145</v>
      </c>
      <c r="V34" s="144"/>
      <c r="W34" s="121"/>
      <c r="X34" s="527"/>
      <c r="Y34" s="83"/>
      <c r="Z34" s="65"/>
      <c r="AA34" s="83"/>
      <c r="AB34" s="3"/>
      <c r="AC34" s="3"/>
      <c r="AD34" s="3"/>
      <c r="AE34" s="14"/>
    </row>
    <row r="35" spans="1:35" ht="15.75" x14ac:dyDescent="0.25">
      <c r="A35" s="107">
        <v>2031</v>
      </c>
      <c r="B35" s="1612"/>
      <c r="C35" s="1606">
        <v>94</v>
      </c>
      <c r="D35" s="1613"/>
      <c r="E35" s="1609">
        <f t="shared" si="1"/>
        <v>94</v>
      </c>
      <c r="F35" s="99">
        <f t="shared" si="2"/>
        <v>0</v>
      </c>
      <c r="G35" s="105">
        <f>+Wind!R42</f>
        <v>274.05840000000006</v>
      </c>
      <c r="H35" s="105">
        <f>+Wind!R94</f>
        <v>703.45860000000005</v>
      </c>
      <c r="I35" s="105">
        <f>+' PV'!O79</f>
        <v>18.760000000000002</v>
      </c>
      <c r="J35" s="105">
        <f>+' PV'!L127</f>
        <v>395.99999999999989</v>
      </c>
      <c r="K35" s="270">
        <f>+Warmte!E28</f>
        <v>5.7619047619047619</v>
      </c>
      <c r="L35" s="270">
        <f>+Warmte!E63</f>
        <v>39.285714285714285</v>
      </c>
      <c r="M35" s="270">
        <f>+Warmte!E99</f>
        <v>12.698412698412703</v>
      </c>
      <c r="N35" s="105">
        <f>+Biomassa!O42</f>
        <v>202.36111111111117</v>
      </c>
      <c r="O35" s="105">
        <f>+Biomassa!E77</f>
        <v>203.29833333333332</v>
      </c>
      <c r="P35" s="105">
        <f>+Vervoer!L103</f>
        <v>291.05963308164775</v>
      </c>
      <c r="Q35" s="105"/>
      <c r="R35" s="1143">
        <f>+Wind!D129</f>
        <v>553.66849999999999</v>
      </c>
      <c r="S35" s="270">
        <f>Energiebesparing!D62</f>
        <v>567.91558027889334</v>
      </c>
      <c r="T35" s="1246"/>
      <c r="U35" s="936">
        <f t="shared" si="0"/>
        <v>3268.3261895510173</v>
      </c>
      <c r="V35" s="144"/>
      <c r="W35" s="121"/>
      <c r="X35" s="527"/>
      <c r="Y35" s="83"/>
      <c r="Z35" s="65"/>
      <c r="AA35" s="83"/>
      <c r="AB35" s="3"/>
      <c r="AC35" s="3"/>
      <c r="AD35" s="3"/>
      <c r="AE35" s="14"/>
    </row>
    <row r="36" spans="1:35" ht="15.75" x14ac:dyDescent="0.25">
      <c r="A36" s="107">
        <v>2032</v>
      </c>
      <c r="B36" s="1612"/>
      <c r="C36" s="1606"/>
      <c r="D36" s="1612"/>
      <c r="E36" s="1606">
        <f t="shared" si="1"/>
        <v>0</v>
      </c>
      <c r="F36" s="99">
        <f t="shared" si="2"/>
        <v>0</v>
      </c>
      <c r="G36" s="105">
        <f>+Wind!R43</f>
        <v>205.54380000000003</v>
      </c>
      <c r="H36" s="105">
        <f>+Wind!R95</f>
        <v>373.51859999999999</v>
      </c>
      <c r="I36" s="105">
        <f>+' PV'!O80</f>
        <v>14.07</v>
      </c>
      <c r="J36" s="105">
        <f>+' PV'!L128</f>
        <v>395.99999999999989</v>
      </c>
      <c r="K36" s="270">
        <f>+Warmte!E29</f>
        <v>4.3214285714285721</v>
      </c>
      <c r="L36" s="270">
        <f>+Warmte!E64</f>
        <v>29.464285714285715</v>
      </c>
      <c r="M36" s="270">
        <f>+Warmte!E100</f>
        <v>9.5238095238095291</v>
      </c>
      <c r="N36" s="105">
        <f>+Biomassa!O43</f>
        <v>161.88888888888894</v>
      </c>
      <c r="O36" s="105">
        <f>+Biomassa!E78</f>
        <v>99.131666666666618</v>
      </c>
      <c r="P36" s="105">
        <f>+Vervoer!L104</f>
        <v>291.05963308164775</v>
      </c>
      <c r="Q36" s="105"/>
      <c r="R36" s="1143">
        <f>+Wind!D130</f>
        <v>455.87523750000003</v>
      </c>
      <c r="S36" s="270">
        <f>Energiebesparing!D63</f>
        <v>567.91558027889334</v>
      </c>
      <c r="T36" s="1246"/>
      <c r="U36" s="936">
        <f t="shared" si="0"/>
        <v>2608.3129302256202</v>
      </c>
      <c r="V36" s="144"/>
      <c r="W36" s="121"/>
      <c r="X36" s="527"/>
      <c r="Y36" s="83"/>
      <c r="Z36" s="65"/>
      <c r="AA36" s="83"/>
      <c r="AB36" s="3"/>
      <c r="AC36" s="3"/>
      <c r="AD36" s="3"/>
      <c r="AE36" s="14"/>
    </row>
    <row r="37" spans="1:35" ht="15.75" x14ac:dyDescent="0.25">
      <c r="A37" s="107">
        <v>2033</v>
      </c>
      <c r="B37" s="1612"/>
      <c r="C37" s="1606"/>
      <c r="D37" s="1612"/>
      <c r="E37" s="1606">
        <f t="shared" si="1"/>
        <v>0</v>
      </c>
      <c r="F37" s="99">
        <f t="shared" si="2"/>
        <v>0</v>
      </c>
      <c r="G37" s="105">
        <f>+Wind!R44</f>
        <v>137.02920000000003</v>
      </c>
      <c r="H37" s="105">
        <f>+Wind!R96</f>
        <v>373.51859999999999</v>
      </c>
      <c r="I37" s="105">
        <f>+' PV'!O81</f>
        <v>9.3800000000000008</v>
      </c>
      <c r="J37" s="105">
        <f>+' PV'!L129</f>
        <v>395.99999999999989</v>
      </c>
      <c r="K37" s="270">
        <f>+Warmte!E30</f>
        <v>2.8809523809523814</v>
      </c>
      <c r="L37" s="270">
        <f>+Warmte!E65</f>
        <v>19.642857142857149</v>
      </c>
      <c r="M37" s="270">
        <f>+Warmte!E101</f>
        <v>6.3492063492063542</v>
      </c>
      <c r="N37" s="105">
        <f>+Biomassa!O44</f>
        <v>121.41666666666671</v>
      </c>
      <c r="O37" s="105">
        <f>+Biomassa!E79</f>
        <v>-5.0350000000000783</v>
      </c>
      <c r="P37" s="105">
        <f>+Vervoer!L105</f>
        <v>291.05963308164775</v>
      </c>
      <c r="Q37" s="105"/>
      <c r="R37" s="1143">
        <f>+Wind!D131</f>
        <v>415.704475</v>
      </c>
      <c r="S37" s="270">
        <f>Energiebesparing!D64</f>
        <v>567.91558027889334</v>
      </c>
      <c r="T37" s="1246"/>
      <c r="U37" s="936">
        <f t="shared" si="0"/>
        <v>2335.8621709002236</v>
      </c>
      <c r="V37" s="144"/>
      <c r="W37" s="121"/>
      <c r="X37" s="527"/>
      <c r="Y37" s="83"/>
      <c r="Z37" s="65"/>
      <c r="AA37" s="83"/>
      <c r="AB37" s="3"/>
      <c r="AC37" s="3"/>
      <c r="AD37" s="3"/>
      <c r="AE37" s="14"/>
    </row>
    <row r="38" spans="1:35" ht="15.75" x14ac:dyDescent="0.25">
      <c r="A38" s="107">
        <v>2034</v>
      </c>
      <c r="B38" s="1612"/>
      <c r="C38" s="1606"/>
      <c r="D38" s="1612"/>
      <c r="E38" s="1606">
        <f t="shared" si="1"/>
        <v>0</v>
      </c>
      <c r="F38" s="99">
        <f t="shared" si="2"/>
        <v>0</v>
      </c>
      <c r="G38" s="105">
        <f>+Wind!R45</f>
        <v>68.514600000000016</v>
      </c>
      <c r="H38" s="105">
        <f>+Wind!R97</f>
        <v>373.51859999999999</v>
      </c>
      <c r="I38" s="105">
        <f>+' PV'!O82</f>
        <v>4.6900000000000004</v>
      </c>
      <c r="J38" s="105">
        <f>+' PV'!L130</f>
        <v>395.99999999999989</v>
      </c>
      <c r="K38" s="270">
        <f>+Warmte!E31</f>
        <v>1.4404761904761909</v>
      </c>
      <c r="L38" s="270">
        <f>+Warmte!E66</f>
        <v>9.8214285714285783</v>
      </c>
      <c r="M38" s="270">
        <f>+Warmte!E102</f>
        <v>3.1746031746031798</v>
      </c>
      <c r="N38" s="105">
        <f>+Biomassa!O45</f>
        <v>80.9444444444445</v>
      </c>
      <c r="O38" s="105">
        <f>+Biomassa!E80</f>
        <v>0</v>
      </c>
      <c r="P38" s="105">
        <f>+Vervoer!L106</f>
        <v>291.05963308164775</v>
      </c>
      <c r="Q38" s="105"/>
      <c r="R38" s="1143">
        <f>+Wind!D132</f>
        <v>375.53371249999998</v>
      </c>
      <c r="S38" s="270">
        <f>Energiebesparing!D65</f>
        <v>567.91558027889334</v>
      </c>
      <c r="T38" s="1246"/>
      <c r="U38" s="936">
        <f t="shared" si="0"/>
        <v>2172.613078241493</v>
      </c>
      <c r="V38" s="144"/>
      <c r="W38" s="121"/>
      <c r="X38" s="527"/>
      <c r="Y38" s="83"/>
      <c r="Z38" s="65"/>
      <c r="AA38" s="83"/>
      <c r="AB38" s="3"/>
      <c r="AC38" s="3"/>
      <c r="AD38" s="3"/>
      <c r="AE38" s="14"/>
      <c r="AG38" s="15"/>
      <c r="AH38" s="15"/>
    </row>
    <row r="39" spans="1:35" ht="15.75" x14ac:dyDescent="0.25">
      <c r="A39" s="107">
        <v>2035</v>
      </c>
      <c r="B39" s="1612"/>
      <c r="C39" s="1606"/>
      <c r="D39" s="1612"/>
      <c r="E39" s="1606">
        <f t="shared" si="1"/>
        <v>0</v>
      </c>
      <c r="F39" s="99">
        <f t="shared" si="2"/>
        <v>0</v>
      </c>
      <c r="G39" s="105">
        <f>+Wind!R46</f>
        <v>0</v>
      </c>
      <c r="H39" s="105">
        <f>+Wind!R98</f>
        <v>181.20959999999999</v>
      </c>
      <c r="I39" s="105">
        <f>+' PV'!O83</f>
        <v>0</v>
      </c>
      <c r="J39" s="105">
        <f>+' PV'!L131</f>
        <v>395.99999999999989</v>
      </c>
      <c r="K39" s="270">
        <f>+Warmte!E32</f>
        <v>0</v>
      </c>
      <c r="L39" s="270">
        <f>+Warmte!E67</f>
        <v>0</v>
      </c>
      <c r="M39" s="270">
        <f>+Warmte!E103</f>
        <v>4.9343245538895852E-15</v>
      </c>
      <c r="N39" s="105">
        <f>+Biomassa!O46</f>
        <v>0</v>
      </c>
      <c r="O39" s="105">
        <f>+Biomassa!E81</f>
        <v>0</v>
      </c>
      <c r="P39" s="105">
        <f>+Vervoer!L107</f>
        <v>291.05963308164775</v>
      </c>
      <c r="Q39" s="105"/>
      <c r="R39" s="1143">
        <f>+Wind!D133</f>
        <v>202.83120000000002</v>
      </c>
      <c r="S39" s="270">
        <f>Energiebesparing!D66</f>
        <v>567.91558027889334</v>
      </c>
      <c r="T39" s="1246"/>
      <c r="U39" s="936">
        <f t="shared" si="0"/>
        <v>1639.0160133605409</v>
      </c>
      <c r="V39" s="144"/>
      <c r="W39" s="121"/>
      <c r="X39" s="527"/>
      <c r="Y39" s="83"/>
      <c r="Z39" s="65"/>
      <c r="AA39" s="83"/>
      <c r="AB39" s="3"/>
      <c r="AC39" s="3"/>
      <c r="AD39" s="3"/>
      <c r="AE39" s="14"/>
    </row>
    <row r="40" spans="1:35" ht="15.75" x14ac:dyDescent="0.25">
      <c r="A40" s="107">
        <v>2036</v>
      </c>
      <c r="B40" s="1614"/>
      <c r="C40" s="1615"/>
      <c r="D40" s="1614"/>
      <c r="E40" s="1615"/>
      <c r="F40" s="401"/>
      <c r="G40" s="402"/>
      <c r="H40" s="105">
        <f>+Wind!R99</f>
        <v>120.80640000000001</v>
      </c>
      <c r="I40" s="402"/>
      <c r="J40" s="402"/>
      <c r="K40" s="660"/>
      <c r="L40" s="660"/>
      <c r="M40" s="660"/>
      <c r="N40" s="402"/>
      <c r="O40" s="402"/>
      <c r="P40" s="402"/>
      <c r="Q40" s="402"/>
      <c r="R40" s="1143"/>
      <c r="S40" s="660"/>
      <c r="T40" s="1147"/>
      <c r="U40" s="936">
        <f t="shared" si="0"/>
        <v>120.80640000000001</v>
      </c>
      <c r="V40" s="144"/>
      <c r="W40" s="121"/>
      <c r="X40" s="527"/>
      <c r="Y40" s="83"/>
      <c r="Z40" s="65"/>
      <c r="AA40" s="83"/>
      <c r="AB40" s="3"/>
      <c r="AC40" s="3"/>
      <c r="AD40" s="3"/>
      <c r="AE40" s="14"/>
    </row>
    <row r="41" spans="1:35" ht="15.75" x14ac:dyDescent="0.25">
      <c r="A41" s="107">
        <v>2037</v>
      </c>
      <c r="B41" s="1614"/>
      <c r="C41" s="1615"/>
      <c r="D41" s="1614"/>
      <c r="E41" s="1615"/>
      <c r="F41" s="401"/>
      <c r="G41" s="402"/>
      <c r="H41" s="105">
        <f>+Wind!R100</f>
        <v>60.403200000000005</v>
      </c>
      <c r="I41" s="402"/>
      <c r="J41" s="402"/>
      <c r="K41" s="660"/>
      <c r="L41" s="660"/>
      <c r="M41" s="660"/>
      <c r="N41" s="402"/>
      <c r="O41" s="402"/>
      <c r="P41" s="402"/>
      <c r="Q41" s="402"/>
      <c r="R41" s="1143"/>
      <c r="S41" s="660"/>
      <c r="T41" s="1147"/>
      <c r="U41" s="936">
        <f t="shared" si="0"/>
        <v>60.403200000000005</v>
      </c>
      <c r="V41" s="144"/>
      <c r="W41" s="121"/>
      <c r="X41" s="527"/>
      <c r="Y41" s="83"/>
      <c r="Z41" s="65"/>
      <c r="AA41" s="83"/>
      <c r="AB41" s="3"/>
      <c r="AC41" s="3"/>
      <c r="AD41" s="3"/>
      <c r="AE41" s="14"/>
    </row>
    <row r="42" spans="1:35" ht="16.5" thickBot="1" x14ac:dyDescent="0.3">
      <c r="A42" s="400"/>
      <c r="B42" s="1614"/>
      <c r="C42" s="1614"/>
      <c r="D42" s="1614"/>
      <c r="E42" s="1614"/>
      <c r="F42" s="401"/>
      <c r="G42" s="401"/>
      <c r="H42" s="402"/>
      <c r="I42" s="402"/>
      <c r="J42" s="402"/>
      <c r="K42" s="402"/>
      <c r="L42" s="402"/>
      <c r="M42" s="402"/>
      <c r="N42" s="402"/>
      <c r="O42" s="402"/>
      <c r="P42" s="402"/>
      <c r="Q42" s="402"/>
      <c r="R42" s="1148"/>
      <c r="S42" s="1147"/>
      <c r="T42" s="1147"/>
      <c r="U42" s="923">
        <f>SUM(U6:U41)</f>
        <v>107229.90126097236</v>
      </c>
      <c r="V42" s="1149"/>
      <c r="W42" s="121"/>
      <c r="X42" s="527"/>
      <c r="Y42" s="83"/>
      <c r="Z42" s="65"/>
      <c r="AA42" s="83"/>
      <c r="AB42" s="3"/>
      <c r="AC42" s="3"/>
      <c r="AD42" s="3"/>
      <c r="AE42" s="14"/>
      <c r="AI42" s="15"/>
    </row>
    <row r="43" spans="1:35" ht="16.5" thickBot="1" x14ac:dyDescent="0.3">
      <c r="A43" s="921" t="s">
        <v>16</v>
      </c>
      <c r="B43" s="938">
        <f>SUM(B7:B42)</f>
        <v>6935</v>
      </c>
      <c r="C43" s="938">
        <f>SUM(C7:C42)</f>
        <v>7784</v>
      </c>
      <c r="D43" s="938">
        <f>SUM(D7:D42)</f>
        <v>780.85000000000025</v>
      </c>
      <c r="E43" s="938">
        <f>SUM(E7:E42)</f>
        <v>15499.85</v>
      </c>
      <c r="F43" s="922">
        <f t="shared" ref="F43:T43" si="3">SUM(F6:F42)</f>
        <v>147</v>
      </c>
      <c r="G43" s="922">
        <f>SUM(G6:G42)</f>
        <v>11672.735999999999</v>
      </c>
      <c r="H43" s="922">
        <f>SUM(H6:H42)</f>
        <v>12032.388999999999</v>
      </c>
      <c r="I43" s="922">
        <f t="shared" si="3"/>
        <v>784.85</v>
      </c>
      <c r="J43" s="922">
        <f t="shared" si="3"/>
        <v>7902.1259315963698</v>
      </c>
      <c r="K43" s="922">
        <f t="shared" si="3"/>
        <v>151.25000000000003</v>
      </c>
      <c r="L43" s="922">
        <f>SUM(L6:L42)</f>
        <v>1031.25</v>
      </c>
      <c r="M43" s="922">
        <f t="shared" si="3"/>
        <v>333.33333333333337</v>
      </c>
      <c r="N43" s="922">
        <f t="shared" si="3"/>
        <v>18203.644444444442</v>
      </c>
      <c r="O43" s="922">
        <f t="shared" si="3"/>
        <v>4601.9049999999997</v>
      </c>
      <c r="P43" s="922">
        <f t="shared" si="3"/>
        <v>6242.7425557466513</v>
      </c>
      <c r="Q43" s="922">
        <f t="shared" si="3"/>
        <v>7571.68</v>
      </c>
      <c r="R43" s="938">
        <f t="shared" si="3"/>
        <v>19153.109581249999</v>
      </c>
      <c r="S43" s="938">
        <f>SUM(S6:S42)*Uitgangspunten!B56</f>
        <v>15567.967414601571</v>
      </c>
      <c r="T43" s="938">
        <f t="shared" si="3"/>
        <v>1833.9179999999978</v>
      </c>
      <c r="U43" s="924">
        <f>SUM(F43:T43)</f>
        <v>107229.90126097237</v>
      </c>
      <c r="V43" s="144"/>
      <c r="W43" s="121"/>
      <c r="X43" s="527"/>
      <c r="Y43" s="83"/>
      <c r="Z43" s="65"/>
      <c r="AA43" s="83"/>
      <c r="AB43" s="3"/>
      <c r="AC43" s="3"/>
      <c r="AD43" s="3"/>
      <c r="AI43" s="528"/>
    </row>
    <row r="44" spans="1:35" ht="15.75" x14ac:dyDescent="0.25">
      <c r="A44" s="274"/>
      <c r="B44" s="939"/>
      <c r="C44" s="939"/>
      <c r="D44" s="939"/>
      <c r="E44" s="939"/>
      <c r="F44" s="108"/>
      <c r="G44" s="109"/>
      <c r="H44" s="109"/>
      <c r="I44" s="109"/>
      <c r="J44" s="109"/>
      <c r="K44" s="109"/>
      <c r="L44" s="109"/>
      <c r="M44" s="109"/>
      <c r="N44" s="272"/>
      <c r="O44" s="272"/>
      <c r="P44" s="272"/>
      <c r="Q44" s="109"/>
      <c r="R44" s="837"/>
      <c r="S44" s="837"/>
      <c r="T44" s="837"/>
      <c r="U44" s="78"/>
      <c r="V44" s="121"/>
      <c r="W44" s="121"/>
      <c r="X44" s="527"/>
      <c r="Y44" s="83"/>
      <c r="Z44" s="65"/>
      <c r="AA44" s="83"/>
      <c r="AB44" s="3"/>
      <c r="AC44" s="3"/>
      <c r="AD44" s="3"/>
      <c r="AI44" s="15"/>
    </row>
    <row r="45" spans="1:35" ht="15.75" x14ac:dyDescent="0.25">
      <c r="A45" s="269"/>
      <c r="B45" s="1313"/>
      <c r="C45" s="1313"/>
      <c r="D45" s="1313"/>
      <c r="E45" s="1313"/>
      <c r="F45" s="1315"/>
      <c r="G45" s="1318"/>
      <c r="H45" s="1313"/>
      <c r="K45" s="1313"/>
      <c r="L45" s="1314"/>
      <c r="P45" s="285"/>
      <c r="Q45" s="285"/>
      <c r="R45" s="285"/>
      <c r="S45" s="285"/>
      <c r="T45" s="277"/>
      <c r="U45" s="15"/>
      <c r="V45" s="307"/>
      <c r="W45" s="121"/>
      <c r="X45" s="527"/>
      <c r="Z45" s="3"/>
      <c r="AA45" s="3"/>
      <c r="AB45" s="3"/>
      <c r="AC45" s="3"/>
      <c r="AD45" s="3"/>
    </row>
    <row r="46" spans="1:35" ht="15.75" x14ac:dyDescent="0.25">
      <c r="A46" s="78" t="s">
        <v>602</v>
      </c>
      <c r="B46" s="269"/>
      <c r="C46" s="77"/>
      <c r="D46" s="77"/>
      <c r="E46" s="108"/>
      <c r="F46" s="276"/>
      <c r="G46" s="276"/>
      <c r="H46" s="272"/>
      <c r="I46" s="1310"/>
      <c r="J46" s="1316"/>
      <c r="K46" s="1317"/>
      <c r="L46" s="1317"/>
      <c r="M46" s="1311"/>
      <c r="N46" s="1311"/>
      <c r="O46" s="1312"/>
      <c r="P46" s="17"/>
      <c r="Q46" s="276"/>
      <c r="R46" s="276"/>
      <c r="S46" s="276"/>
      <c r="T46" s="277"/>
      <c r="U46" s="15"/>
      <c r="V46" s="15"/>
      <c r="W46" s="15"/>
      <c r="Z46" s="3"/>
      <c r="AA46" s="3"/>
      <c r="AB46" s="3"/>
      <c r="AC46" s="3"/>
      <c r="AD46" s="3"/>
    </row>
    <row r="47" spans="1:35" ht="21.75" thickBot="1" x14ac:dyDescent="0.4">
      <c r="A47" s="288" t="s">
        <v>390</v>
      </c>
      <c r="B47" s="278"/>
      <c r="C47" s="279"/>
      <c r="D47" s="279"/>
      <c r="E47" s="280"/>
      <c r="F47" s="281"/>
      <c r="G47" s="281"/>
      <c r="H47" s="282"/>
      <c r="I47" s="282"/>
      <c r="J47" s="21"/>
      <c r="K47" s="21"/>
      <c r="L47" s="21"/>
      <c r="M47" s="21"/>
      <c r="N47" s="283"/>
      <c r="O47" s="283"/>
      <c r="P47" s="283"/>
      <c r="Q47" s="283"/>
      <c r="R47" s="283"/>
      <c r="S47" s="283"/>
      <c r="T47" s="21"/>
      <c r="U47" s="281"/>
      <c r="V47" s="281"/>
      <c r="W47" s="281"/>
      <c r="X47" s="284"/>
      <c r="AD47" s="2"/>
      <c r="AE47"/>
      <c r="AI47" s="2"/>
    </row>
    <row r="48" spans="1:35" ht="300" customHeight="1" thickBot="1" x14ac:dyDescent="0.3">
      <c r="A48" s="293"/>
      <c r="B48" s="292"/>
      <c r="C48" s="846"/>
      <c r="D48" s="1340" t="s">
        <v>652</v>
      </c>
      <c r="E48" s="1514" t="s">
        <v>522</v>
      </c>
      <c r="F48" s="1515" t="s">
        <v>654</v>
      </c>
      <c r="G48" s="1538" t="s">
        <v>648</v>
      </c>
      <c r="H48" s="1539" t="s">
        <v>649</v>
      </c>
      <c r="I48" s="1540" t="s">
        <v>650</v>
      </c>
      <c r="J48" s="1543" t="s">
        <v>655</v>
      </c>
      <c r="K48" s="1543" t="s">
        <v>651</v>
      </c>
      <c r="L48" s="1541" t="s">
        <v>653</v>
      </c>
      <c r="M48" s="1563" t="s">
        <v>1085</v>
      </c>
      <c r="N48" s="1340" t="s">
        <v>1097</v>
      </c>
      <c r="O48" s="1575" t="s">
        <v>1084</v>
      </c>
      <c r="P48" s="1575" t="s">
        <v>1078</v>
      </c>
      <c r="Q48" s="1576" t="s">
        <v>1094</v>
      </c>
      <c r="R48" s="1287"/>
      <c r="S48" s="351"/>
      <c r="T48" s="292"/>
      <c r="U48" s="292"/>
      <c r="V48" s="292"/>
      <c r="W48" s="286"/>
      <c r="X48" s="277"/>
      <c r="AD48" s="2"/>
      <c r="AE48"/>
      <c r="AI48" s="2"/>
    </row>
    <row r="49" spans="1:34" ht="16.5" customHeight="1" thickBot="1" x14ac:dyDescent="0.3">
      <c r="A49" s="910" t="s">
        <v>89</v>
      </c>
      <c r="B49" s="925"/>
      <c r="C49" s="926" t="s">
        <v>367</v>
      </c>
      <c r="D49" s="1516" t="s">
        <v>368</v>
      </c>
      <c r="E49" s="1517" t="s">
        <v>367</v>
      </c>
      <c r="F49" s="1527" t="s">
        <v>367</v>
      </c>
      <c r="G49" s="927" t="s">
        <v>177</v>
      </c>
      <c r="H49" s="1527" t="s">
        <v>369</v>
      </c>
      <c r="I49" s="928" t="s">
        <v>370</v>
      </c>
      <c r="J49" s="1542" t="s">
        <v>371</v>
      </c>
      <c r="K49" s="1542" t="s">
        <v>640</v>
      </c>
      <c r="L49" s="1559" t="s">
        <v>373</v>
      </c>
      <c r="M49" s="1341"/>
      <c r="N49" s="1567" t="s">
        <v>373</v>
      </c>
      <c r="O49" s="1577" t="s">
        <v>1079</v>
      </c>
      <c r="P49" s="1577" t="s">
        <v>368</v>
      </c>
      <c r="Q49" s="1578" t="s">
        <v>1080</v>
      </c>
      <c r="R49" s="1288" t="s">
        <v>88</v>
      </c>
      <c r="S49" s="910"/>
      <c r="T49" s="910"/>
      <c r="U49" s="910"/>
      <c r="V49" s="910"/>
      <c r="W49" s="1327"/>
      <c r="AD49" s="2"/>
      <c r="AE49"/>
      <c r="AH49" s="2"/>
    </row>
    <row r="50" spans="1:34" ht="15" customHeight="1" x14ac:dyDescent="0.25">
      <c r="A50" s="1281" t="s">
        <v>17</v>
      </c>
      <c r="C50" s="295">
        <f>+F$43</f>
        <v>147</v>
      </c>
      <c r="D50" s="296">
        <f>+'%Hernieuwbaar'!I14</f>
        <v>1.9504950495049505E-4</v>
      </c>
      <c r="E50" s="1518">
        <f t="shared" ref="E50:E59" si="4">+C50/D50/100</f>
        <v>7536.5482233502544</v>
      </c>
      <c r="F50" s="1528">
        <f>+F141</f>
        <v>6.2593548387096778</v>
      </c>
      <c r="G50" s="789">
        <f>+'%Hernieuwbaar'!H14</f>
        <v>0.39400000000000002</v>
      </c>
      <c r="H50" s="1534">
        <f>+F50/G50</f>
        <v>15.886687407892582</v>
      </c>
      <c r="I50" s="551">
        <f>+G50*10^(15-12)/3.6</f>
        <v>109.44444444444444</v>
      </c>
      <c r="J50" s="1544">
        <f>+Uitgangspunten!B65-Uitgangspunten!B66</f>
        <v>526</v>
      </c>
      <c r="K50" s="1553">
        <f t="shared" ref="K50:K61" si="5">+J50*I50/10^6</f>
        <v>5.7567777777777773E-2</v>
      </c>
      <c r="L50" s="1529">
        <f>+F50/K50</f>
        <v>108.73017997797206</v>
      </c>
      <c r="M50" s="1342"/>
      <c r="N50" s="1568">
        <f>+(Uitgangspunten!B6)/(Uitgangspunten!B$65-Uitgangspunten!B66)*10^6</f>
        <v>133.07984790874525</v>
      </c>
      <c r="O50" s="1579">
        <f t="shared" ref="O50:O59" si="6">E50 * (N50/L50)</f>
        <v>9224.3265993265995</v>
      </c>
      <c r="P50" s="1580"/>
      <c r="Q50" s="1581"/>
      <c r="R50" s="523" t="s">
        <v>293</v>
      </c>
      <c r="S50" s="523"/>
      <c r="T50" s="523"/>
      <c r="U50" s="523"/>
      <c r="V50" s="1304"/>
      <c r="W50" s="1328"/>
      <c r="AD50" s="2"/>
      <c r="AE50"/>
      <c r="AH50" s="2"/>
    </row>
    <row r="51" spans="1:34" ht="15" customHeight="1" x14ac:dyDescent="0.25">
      <c r="A51" s="727" t="s">
        <v>200</v>
      </c>
      <c r="C51" s="295">
        <f>+G$43</f>
        <v>11672.735999999999</v>
      </c>
      <c r="D51" s="296">
        <f>+'%Hernieuwbaar'!I15</f>
        <v>2.6029853811881196E-2</v>
      </c>
      <c r="E51" s="1518">
        <f t="shared" si="4"/>
        <v>4484.3647929640065</v>
      </c>
      <c r="F51" s="1529">
        <f>+G141</f>
        <v>680.78575483870975</v>
      </c>
      <c r="G51" s="789">
        <f>+'%Hernieuwbaar'!H15</f>
        <v>52.580304700000013</v>
      </c>
      <c r="H51" s="1534">
        <f t="shared" ref="H51:H59" si="7">+F51/G51</f>
        <v>12.947542976842232</v>
      </c>
      <c r="I51" s="551">
        <f>+G51*10^(15-12)/3.6</f>
        <v>14605.640194444448</v>
      </c>
      <c r="J51" s="1544">
        <f>+Uitgangspunten!B65-Uitgangspunten!B67</f>
        <v>526</v>
      </c>
      <c r="K51" s="1553">
        <f t="shared" si="5"/>
        <v>7.6825667422777792</v>
      </c>
      <c r="L51" s="1529">
        <f t="shared" ref="L51:L59" si="8">+F51/K51</f>
        <v>88.614362579148363</v>
      </c>
      <c r="M51" s="1342"/>
      <c r="N51" s="1568">
        <f>+(Uitgangspunten!B8-Uitgangspunten!B9)/(Uitgangspunten!B$65-Uitgangspunten!B67)*10^6</f>
        <v>79.847908745247167</v>
      </c>
      <c r="O51" s="1579">
        <f t="shared" si="6"/>
        <v>4040.7349367228321</v>
      </c>
      <c r="P51" s="1580">
        <v>0.1</v>
      </c>
      <c r="Q51" s="1582">
        <f>P51*O51</f>
        <v>404.07349367228323</v>
      </c>
      <c r="R51" s="8" t="s">
        <v>293</v>
      </c>
      <c r="S51" s="272"/>
      <c r="T51" s="272"/>
      <c r="U51" s="17"/>
      <c r="V51" s="1305"/>
      <c r="W51" s="1329"/>
      <c r="AD51" s="2"/>
      <c r="AE51"/>
      <c r="AH51" s="2"/>
    </row>
    <row r="52" spans="1:34" s="3" customFormat="1" ht="15" customHeight="1" x14ac:dyDescent="0.25">
      <c r="A52" s="727" t="s">
        <v>199</v>
      </c>
      <c r="C52" s="1320">
        <f>+H$43</f>
        <v>12032.388999999999</v>
      </c>
      <c r="D52" s="1321">
        <f>+'%Hernieuwbaar'!K16</f>
        <v>3.0317948910891089E-2</v>
      </c>
      <c r="E52" s="1519">
        <f>+C52/D52/100</f>
        <v>3968.7345062045456</v>
      </c>
      <c r="F52" s="1530">
        <f>+H144</f>
        <v>774.03187419354845</v>
      </c>
      <c r="G52" s="1322">
        <f>+'%Hernieuwbaar'!J16</f>
        <v>61.2422568</v>
      </c>
      <c r="H52" s="1534">
        <f>+F52/G52</f>
        <v>12.638852887497583</v>
      </c>
      <c r="I52" s="1323">
        <f>+G52*10^(15-12)/3.6</f>
        <v>17011.738000000001</v>
      </c>
      <c r="J52" s="1545">
        <f>+Uitgangspunten!B65-Uitgangspunten!B68</f>
        <v>526</v>
      </c>
      <c r="K52" s="1554">
        <f>+J52*I52/10^6</f>
        <v>8.9481741880000012</v>
      </c>
      <c r="L52" s="1531">
        <f>+F52/K52</f>
        <v>86.501654743329453</v>
      </c>
      <c r="M52" s="1342"/>
      <c r="N52" s="1569">
        <f>+(Uitgangspunten!B13-Uitgangspunten!B14)/(Uitgangspunten!B$65-Uitgangspunten!B68)*10^6</f>
        <v>41.825095057034225</v>
      </c>
      <c r="O52" s="1579">
        <f t="shared" si="6"/>
        <v>1918.9540185176329</v>
      </c>
      <c r="P52" s="1580">
        <v>0.25</v>
      </c>
      <c r="Q52" s="1582">
        <f>P52*O52</f>
        <v>479.73850462940823</v>
      </c>
      <c r="R52" s="17" t="s">
        <v>293</v>
      </c>
      <c r="S52" s="272"/>
      <c r="T52" s="272"/>
      <c r="U52" s="17"/>
      <c r="V52" s="1305"/>
      <c r="W52" s="1329"/>
      <c r="X52"/>
      <c r="AH52" s="399"/>
    </row>
    <row r="53" spans="1:34" s="3" customFormat="1" ht="15" customHeight="1" x14ac:dyDescent="0.25">
      <c r="A53" s="1282" t="s">
        <v>599</v>
      </c>
      <c r="C53" s="1320">
        <f>I43</f>
        <v>784.85</v>
      </c>
      <c r="D53" s="1321">
        <f>+(' PV'!M68*3.6)/Energiebesparing!E9</f>
        <v>6.201111386138614E-4</v>
      </c>
      <c r="E53" s="1519">
        <f t="shared" si="4"/>
        <v>12656.602198025028</v>
      </c>
      <c r="F53" s="1530">
        <f>+I141</f>
        <v>46.322903225806449</v>
      </c>
      <c r="G53" s="1324">
        <f>' PV'!M68*3.6</f>
        <v>1.2526245</v>
      </c>
      <c r="H53" s="1534">
        <f t="shared" si="7"/>
        <v>36.980677949222972</v>
      </c>
      <c r="I53" s="1323">
        <f>+G53*10^(15-12)/3.6</f>
        <v>347.95125000000002</v>
      </c>
      <c r="J53" s="1545">
        <f>+Uitgangspunten!B65-Uitgangspunten!B69</f>
        <v>526</v>
      </c>
      <c r="K53" s="1554">
        <f t="shared" si="5"/>
        <v>0.18302235750000001</v>
      </c>
      <c r="L53" s="1531">
        <f t="shared" si="8"/>
        <v>253.09969699087964</v>
      </c>
      <c r="M53" s="1342"/>
      <c r="N53" s="1569">
        <f>+(Uitgangspunten!B19-Uitgangspunten!B20)/(Uitgangspunten!B$65-Uitgangspunten!B69)*10^6</f>
        <v>127.37642585551332</v>
      </c>
      <c r="O53" s="1579">
        <f t="shared" si="6"/>
        <v>6369.6352489807814</v>
      </c>
      <c r="P53" s="1580"/>
      <c r="Q53" s="1582">
        <f>P53*O53</f>
        <v>0</v>
      </c>
      <c r="R53" s="17" t="s">
        <v>294</v>
      </c>
      <c r="S53" s="272"/>
      <c r="T53" s="272"/>
      <c r="U53" s="17"/>
      <c r="V53" s="1306"/>
      <c r="W53" s="1329"/>
      <c r="X53"/>
      <c r="AH53" s="399"/>
    </row>
    <row r="54" spans="1:34" s="3" customFormat="1" ht="15" customHeight="1" x14ac:dyDescent="0.25">
      <c r="A54" s="1282" t="s">
        <v>600</v>
      </c>
      <c r="C54" s="1320">
        <f>J43</f>
        <v>7902.1259315963698</v>
      </c>
      <c r="D54" s="1321">
        <f>+(' PV'!D116*3.6+'%Hernieuwbaar'!E17)/Energiebesparing!E9</f>
        <v>4.7049504950495051E-3</v>
      </c>
      <c r="E54" s="1519">
        <f>+C54/D54/100</f>
        <v>16795.343415219555</v>
      </c>
      <c r="F54" s="1530">
        <f>J141</f>
        <v>395.99999999999989</v>
      </c>
      <c r="G54" s="1324">
        <f>' PV'!D116*3.6+'%Hernieuwbaar'!E17</f>
        <v>9.5039999999999996</v>
      </c>
      <c r="H54" s="1534">
        <f t="shared" si="7"/>
        <v>41.666666666666657</v>
      </c>
      <c r="I54" s="1323">
        <f>+G54*10^(15-12)/3.6</f>
        <v>2640</v>
      </c>
      <c r="J54" s="1545">
        <f>+Uitgangspunten!B65-Uitgangspunten!B69</f>
        <v>526</v>
      </c>
      <c r="K54" s="1554">
        <f t="shared" si="5"/>
        <v>1.3886400000000001</v>
      </c>
      <c r="L54" s="1531">
        <f t="shared" si="8"/>
        <v>285.17110266159688</v>
      </c>
      <c r="M54" s="1342"/>
      <c r="N54" s="1569">
        <f>+(Uitgangspunten!B23+Uitgangspunten!B24)/(Uitgangspunten!B$65-Uitgangspunten!B69)*10^6</f>
        <v>285.17110266159705</v>
      </c>
      <c r="O54" s="1579">
        <f t="shared" si="6"/>
        <v>16795.343415219566</v>
      </c>
      <c r="P54" s="1580">
        <v>0.03</v>
      </c>
      <c r="Q54" s="1582">
        <f>P54*O54</f>
        <v>503.86030245658696</v>
      </c>
      <c r="R54" s="17" t="s">
        <v>294</v>
      </c>
      <c r="S54" s="272"/>
      <c r="T54" s="272"/>
      <c r="U54" s="17"/>
      <c r="V54" s="1306"/>
      <c r="W54" s="1329"/>
      <c r="X54"/>
      <c r="AH54" s="399"/>
    </row>
    <row r="55" spans="1:34" s="3" customFormat="1" ht="15" customHeight="1" x14ac:dyDescent="0.25">
      <c r="A55" s="1282" t="s">
        <v>374</v>
      </c>
      <c r="C55" s="1320">
        <f>+K$43</f>
        <v>151.25000000000003</v>
      </c>
      <c r="D55" s="1321">
        <f>+'%Hernieuwbaar'!I18</f>
        <v>8.1683168316831691E-4</v>
      </c>
      <c r="E55" s="1519">
        <f t="shared" si="4"/>
        <v>1851.666666666667</v>
      </c>
      <c r="F55" s="1530">
        <f>+K141</f>
        <v>10.083333333333334</v>
      </c>
      <c r="G55" s="1322">
        <f>+'%Hernieuwbaar'!H18</f>
        <v>1.6500000000000001</v>
      </c>
      <c r="H55" s="1534">
        <f t="shared" si="7"/>
        <v>6.1111111111111107</v>
      </c>
      <c r="I55" s="1323">
        <f t="shared" ref="I55:I61" si="9">+G55*10^(15-12)/3.6</f>
        <v>458.33333333333337</v>
      </c>
      <c r="J55" s="1545">
        <f>+Uitgangspunten!B72-Uitgangspunten!B74</f>
        <v>202.99597443993832</v>
      </c>
      <c r="K55" s="1554">
        <f t="shared" si="5"/>
        <v>9.3039821618305069E-2</v>
      </c>
      <c r="L55" s="1531">
        <f t="shared" si="8"/>
        <v>108.37653338051429</v>
      </c>
      <c r="M55" s="1342"/>
      <c r="N55" s="1569">
        <f>+(Uitgangspunten!B26)/(Uitgangspunten!B$65-Uitgangspunten!B74)*10^6</f>
        <v>125.47528517110266</v>
      </c>
      <c r="O55" s="1579">
        <f t="shared" si="6"/>
        <v>2143.8072966042914</v>
      </c>
      <c r="P55" s="1580">
        <v>0.02</v>
      </c>
      <c r="Q55" s="1582"/>
      <c r="R55" s="17" t="s">
        <v>293</v>
      </c>
      <c r="S55" s="272"/>
      <c r="T55" s="272"/>
      <c r="U55" s="17"/>
      <c r="V55" s="1306"/>
      <c r="W55" s="1329"/>
      <c r="X55"/>
      <c r="AH55" s="399"/>
    </row>
    <row r="56" spans="1:34" s="3" customFormat="1" ht="15" customHeight="1" x14ac:dyDescent="0.25">
      <c r="A56" s="1282" t="s">
        <v>41</v>
      </c>
      <c r="C56" s="1320">
        <f>+L$43</f>
        <v>1031.25</v>
      </c>
      <c r="D56" s="1325">
        <f>+'%Hernieuwbaar'!I19</f>
        <v>3.2178217821782176E-3</v>
      </c>
      <c r="E56" s="1520">
        <f t="shared" si="4"/>
        <v>3204.8076923076924</v>
      </c>
      <c r="F56" s="1531">
        <f>+L141</f>
        <v>68.749999999999986</v>
      </c>
      <c r="G56" s="1326">
        <f>+'%Hernieuwbaar'!H19</f>
        <v>6.5</v>
      </c>
      <c r="H56" s="1534">
        <f t="shared" si="7"/>
        <v>10.576923076923075</v>
      </c>
      <c r="I56" s="1323">
        <f t="shared" si="9"/>
        <v>1805.5555555555554</v>
      </c>
      <c r="J56" s="1546">
        <f>+Uitgangspunten!B72-Uitgangspunten!B75</f>
        <v>112.81597443993832</v>
      </c>
      <c r="K56" s="1554">
        <f t="shared" si="5"/>
        <v>0.20369550940544418</v>
      </c>
      <c r="L56" s="1531">
        <f t="shared" si="8"/>
        <v>337.51357700849985</v>
      </c>
      <c r="M56" s="1342"/>
      <c r="N56" s="1570">
        <f>+(Uitgangspunten!B29)/(Uitgangspunten!B$65-Uitgangspunten!B75)*10^6</f>
        <v>103.25363682254142</v>
      </c>
      <c r="O56" s="1579">
        <f t="shared" si="6"/>
        <v>980.42885409404448</v>
      </c>
      <c r="P56" s="1580">
        <v>0.02</v>
      </c>
      <c r="Q56" s="1582">
        <f>P56*O56</f>
        <v>19.608577081880892</v>
      </c>
      <c r="R56" s="17" t="s">
        <v>293</v>
      </c>
      <c r="S56" s="272"/>
      <c r="T56" s="272"/>
      <c r="U56" s="17"/>
      <c r="V56" s="1306"/>
      <c r="W56" s="1329"/>
      <c r="X56"/>
      <c r="AH56" s="399"/>
    </row>
    <row r="57" spans="1:34" s="3" customFormat="1" ht="15" customHeight="1" x14ac:dyDescent="0.25">
      <c r="A57" s="1282" t="s">
        <v>307</v>
      </c>
      <c r="C57" s="1320">
        <f>+M$43</f>
        <v>333.33333333333337</v>
      </c>
      <c r="D57" s="1325">
        <f>+'%Hernieuwbaar'!I20</f>
        <v>6.9801980198019803E-3</v>
      </c>
      <c r="E57" s="1520">
        <f t="shared" si="4"/>
        <v>477.54137115839251</v>
      </c>
      <c r="F57" s="1531">
        <f>+M141</f>
        <v>22.222222222222225</v>
      </c>
      <c r="G57" s="1326">
        <f>+'%Hernieuwbaar'!H20</f>
        <v>14.1</v>
      </c>
      <c r="H57" s="1534">
        <f>+F57/G57</f>
        <v>1.5760441292356189</v>
      </c>
      <c r="I57" s="1323">
        <f t="shared" si="9"/>
        <v>3916.6666666666665</v>
      </c>
      <c r="J57" s="1545">
        <f>+Uitgangspunten!B72-Uitgangspunten!B77</f>
        <v>97.79597443993832</v>
      </c>
      <c r="K57" s="1554">
        <f t="shared" si="5"/>
        <v>0.38303423322309177</v>
      </c>
      <c r="L57" s="1531">
        <f t="shared" si="8"/>
        <v>58.016282344349285</v>
      </c>
      <c r="M57" s="1342"/>
      <c r="N57" s="1570">
        <f>+(Uitgangspunten!B32)/(Uitgangspunten!B$65-Uitgangspunten!B77)*10^6</f>
        <v>23.764258555133079</v>
      </c>
      <c r="O57" s="1579">
        <f t="shared" si="6"/>
        <v>195.60744253869157</v>
      </c>
      <c r="P57" s="1580">
        <v>0.05</v>
      </c>
      <c r="Q57" s="1582">
        <f>P57*O57</f>
        <v>9.78037212693458</v>
      </c>
      <c r="R57" s="17" t="s">
        <v>293</v>
      </c>
      <c r="S57" s="272"/>
      <c r="T57" s="272"/>
      <c r="U57" s="17"/>
      <c r="V57" s="1306"/>
      <c r="W57" s="1329"/>
      <c r="X57"/>
      <c r="AH57" s="399"/>
    </row>
    <row r="58" spans="1:34" s="3" customFormat="1" ht="15" customHeight="1" x14ac:dyDescent="0.25">
      <c r="A58" s="1282" t="s">
        <v>463</v>
      </c>
      <c r="C58" s="1320">
        <f>+N$43</f>
        <v>18203.644444444442</v>
      </c>
      <c r="D58" s="1325">
        <f>+'%Hernieuwbaar'!I21</f>
        <v>1.9356435643564356E-2</v>
      </c>
      <c r="E58" s="1520">
        <f t="shared" si="4"/>
        <v>9404.4403523728324</v>
      </c>
      <c r="F58" s="1531">
        <f>+N141</f>
        <v>1190.7852903225807</v>
      </c>
      <c r="G58" s="1326">
        <f>+'%Hernieuwbaar'!H21</f>
        <v>39.1</v>
      </c>
      <c r="H58" s="1534">
        <f t="shared" si="7"/>
        <v>30.454866760168304</v>
      </c>
      <c r="I58" s="1323">
        <f t="shared" si="9"/>
        <v>10861.111111111111</v>
      </c>
      <c r="J58" s="1547">
        <f>+Uitgangspunten!B65-Uitgangspunten!B70</f>
        <v>337</v>
      </c>
      <c r="K58" s="1554">
        <f t="shared" si="5"/>
        <v>3.6601944444444445</v>
      </c>
      <c r="L58" s="1531">
        <f>+F58/K58</f>
        <v>325.33388823918665</v>
      </c>
      <c r="M58" s="1342"/>
      <c r="N58" s="1570">
        <f>+(Uitgangspunten!B35-Uitgangspunten!B36)/(Uitgangspunten!B$65-Uitgangspunten!B70)*10^6</f>
        <v>183.97626112759647</v>
      </c>
      <c r="O58" s="1579">
        <f t="shared" si="6"/>
        <v>5318.2094966848481</v>
      </c>
      <c r="P58" s="1580">
        <v>0.1</v>
      </c>
      <c r="Q58" s="1582">
        <f>P58*O58</f>
        <v>531.82094966848479</v>
      </c>
      <c r="R58" s="17" t="s">
        <v>293</v>
      </c>
      <c r="S58" s="272"/>
      <c r="T58" s="272"/>
      <c r="U58" s="17"/>
      <c r="V58" s="1306"/>
      <c r="W58" s="1329"/>
      <c r="X58"/>
      <c r="AH58" s="399"/>
    </row>
    <row r="59" spans="1:34" ht="15" customHeight="1" x14ac:dyDescent="0.25">
      <c r="A59" s="1282" t="s">
        <v>464</v>
      </c>
      <c r="C59" s="295">
        <f>+O$43</f>
        <v>4601.9049999999997</v>
      </c>
      <c r="D59" s="296">
        <f>+'%Hernieuwbaar'!I22</f>
        <v>2.4752475247524754E-2</v>
      </c>
      <c r="E59" s="1518">
        <f t="shared" si="4"/>
        <v>1859.1696199999997</v>
      </c>
      <c r="F59" s="1529">
        <f>+O141</f>
        <v>307.46499999999997</v>
      </c>
      <c r="G59" s="789">
        <f>+'%Hernieuwbaar'!H22</f>
        <v>50</v>
      </c>
      <c r="H59" s="1534">
        <f t="shared" si="7"/>
        <v>6.1492999999999993</v>
      </c>
      <c r="I59" s="551">
        <f t="shared" si="9"/>
        <v>13888.888888888889</v>
      </c>
      <c r="J59" s="1544">
        <f>+Uitgangspunten!B72-Uitgangspunten!B76</f>
        <v>112.99597443993832</v>
      </c>
      <c r="K59" s="1553">
        <f t="shared" si="5"/>
        <v>1.5693885338880322</v>
      </c>
      <c r="L59" s="1529">
        <f t="shared" si="8"/>
        <v>195.91388197432568</v>
      </c>
      <c r="M59" s="1342"/>
      <c r="N59" s="1568">
        <f>+(Uitgangspunten!B39-Uitgangspunten!B40)/(Uitgangspunten!B$65-Uitgangspunten!B76)*10^6</f>
        <v>103.21100917431191</v>
      </c>
      <c r="O59" s="1579">
        <f t="shared" si="6"/>
        <v>979.44449251211574</v>
      </c>
      <c r="P59" s="1580">
        <v>0.05</v>
      </c>
      <c r="Q59" s="1582">
        <f>P59*O59</f>
        <v>48.97222462560579</v>
      </c>
      <c r="R59" s="8" t="s">
        <v>293</v>
      </c>
      <c r="S59" s="272"/>
      <c r="T59" s="272"/>
      <c r="U59" s="17"/>
      <c r="V59" s="1306"/>
      <c r="W59" s="1329"/>
      <c r="AD59" s="2"/>
      <c r="AE59"/>
      <c r="AH59" s="2"/>
    </row>
    <row r="60" spans="1:34" ht="15" customHeight="1" x14ac:dyDescent="0.25">
      <c r="A60" s="1282" t="s">
        <v>470</v>
      </c>
      <c r="B60" s="291"/>
      <c r="C60" s="725">
        <v>0</v>
      </c>
      <c r="D60" s="296">
        <f>+'%Hernieuwbaar'!I23</f>
        <v>9.3069306930693065E-3</v>
      </c>
      <c r="E60" s="1518">
        <v>0</v>
      </c>
      <c r="F60" s="1532">
        <v>0</v>
      </c>
      <c r="G60" s="789">
        <f>+'%Hernieuwbaar'!H23</f>
        <v>18.8</v>
      </c>
      <c r="H60" s="1534">
        <v>0</v>
      </c>
      <c r="I60" s="726">
        <f t="shared" si="9"/>
        <v>5222.2222222222217</v>
      </c>
      <c r="J60" s="1548">
        <f>Uitgangspunten!B72-Uitgangspunten!B78</f>
        <v>182.99597443993832</v>
      </c>
      <c r="K60" s="1555">
        <f t="shared" si="5"/>
        <v>0.95564564429745558</v>
      </c>
      <c r="L60" s="1532">
        <v>0</v>
      </c>
      <c r="M60" s="1343"/>
      <c r="N60" s="1568">
        <v>0</v>
      </c>
      <c r="O60" s="1579">
        <v>0</v>
      </c>
      <c r="P60" s="1580"/>
      <c r="Q60" s="1582"/>
      <c r="R60" s="1289" t="s">
        <v>293</v>
      </c>
      <c r="S60" s="272"/>
      <c r="T60" s="272"/>
      <c r="U60" s="17"/>
      <c r="V60" s="1306"/>
      <c r="W60" s="1329"/>
      <c r="AD60" s="2"/>
      <c r="AE60"/>
      <c r="AH60" s="2"/>
    </row>
    <row r="61" spans="1:34" ht="15.75" customHeight="1" x14ac:dyDescent="0.25">
      <c r="A61" s="1282" t="s">
        <v>578</v>
      </c>
      <c r="B61" s="291"/>
      <c r="C61" s="725">
        <f>+P$43</f>
        <v>6242.7425557466513</v>
      </c>
      <c r="D61" s="296">
        <f>+'%Hernieuwbaar'!I24</f>
        <v>1.707920792079208E-2</v>
      </c>
      <c r="E61" s="1518">
        <f>+C61/D61/100</f>
        <v>3655.171003654561</v>
      </c>
      <c r="F61" s="1532">
        <f>+P141</f>
        <v>305.21450885461547</v>
      </c>
      <c r="G61" s="789">
        <f>+'%Hernieuwbaar'!H24</f>
        <v>34.5</v>
      </c>
      <c r="H61" s="1534">
        <f>+F61/G61</f>
        <v>8.8467973581047961</v>
      </c>
      <c r="I61" s="726">
        <f t="shared" si="9"/>
        <v>9583.3333333333339</v>
      </c>
      <c r="J61" s="1548">
        <f>+Uitgangspunten!B82-Uitgangspunten!B84</f>
        <v>174.5639034823383</v>
      </c>
      <c r="K61" s="1555">
        <f t="shared" si="5"/>
        <v>1.6729040750390753</v>
      </c>
      <c r="L61" s="1532">
        <f>+F61/K61</f>
        <v>182.44591151915648</v>
      </c>
      <c r="M61" s="1343"/>
      <c r="N61" s="1568">
        <f>+L61</f>
        <v>182.44591151915648</v>
      </c>
      <c r="O61" s="1579">
        <f>E61 * (N61/L61)</f>
        <v>3655.171003654561</v>
      </c>
      <c r="P61" s="1580">
        <v>0.15</v>
      </c>
      <c r="Q61" s="1582">
        <f>P61*O61</f>
        <v>548.2756505481841</v>
      </c>
      <c r="R61" s="1289" t="s">
        <v>296</v>
      </c>
      <c r="S61" s="272"/>
      <c r="T61" s="272"/>
      <c r="U61" s="17"/>
      <c r="V61" s="1306"/>
      <c r="W61" s="1329"/>
      <c r="AD61" s="2"/>
      <c r="AE61"/>
      <c r="AH61" s="2"/>
    </row>
    <row r="62" spans="1:34" ht="41.25" customHeight="1" x14ac:dyDescent="0.25">
      <c r="A62" s="1283" t="s">
        <v>876</v>
      </c>
      <c r="B62" s="195"/>
      <c r="C62" s="1255">
        <f>+Q$43</f>
        <v>7571.68</v>
      </c>
      <c r="D62" s="1256"/>
      <c r="E62" s="1521"/>
      <c r="F62" s="1533">
        <f>Q141</f>
        <v>315</v>
      </c>
      <c r="G62" s="1257">
        <f>+Energiebesparing!C18-Energiebesparing!E18</f>
        <v>35</v>
      </c>
      <c r="H62" s="1535"/>
      <c r="I62" s="1258"/>
      <c r="J62" s="1549"/>
      <c r="K62" s="1556">
        <f>F62/L62</f>
        <v>0.315</v>
      </c>
      <c r="L62" s="1533">
        <v>1000</v>
      </c>
      <c r="M62" s="1344"/>
      <c r="N62" s="1571"/>
      <c r="O62" s="1583"/>
      <c r="P62" s="1584"/>
      <c r="Q62" s="1585"/>
      <c r="R62" s="1259" t="s">
        <v>296</v>
      </c>
      <c r="S62" s="1260"/>
      <c r="T62" s="348"/>
      <c r="U62" s="125"/>
      <c r="V62" s="1307"/>
      <c r="W62" s="1330"/>
      <c r="AD62" s="2"/>
      <c r="AE62"/>
      <c r="AH62" s="2"/>
    </row>
    <row r="63" spans="1:34" s="1263" customFormat="1" ht="46.5" customHeight="1" x14ac:dyDescent="0.25">
      <c r="A63" s="1283" t="s">
        <v>1071</v>
      </c>
      <c r="B63" s="195"/>
      <c r="C63" s="1255">
        <f>+R$43</f>
        <v>19153.109581249999</v>
      </c>
      <c r="D63" s="1256"/>
      <c r="E63" s="1522"/>
      <c r="F63" s="1533">
        <f>R141</f>
        <v>1866.7315187499999</v>
      </c>
      <c r="G63" s="1261">
        <v>0</v>
      </c>
      <c r="H63" s="1535"/>
      <c r="I63" s="1258"/>
      <c r="J63" s="1549"/>
      <c r="K63" s="1549"/>
      <c r="L63" s="1560"/>
      <c r="M63" s="1262"/>
      <c r="N63" s="1571"/>
      <c r="O63" s="1586">
        <v>6000</v>
      </c>
      <c r="P63" s="1587">
        <v>0.13</v>
      </c>
      <c r="Q63" s="1588">
        <f>P63*O63</f>
        <v>780</v>
      </c>
      <c r="R63" s="1259" t="s">
        <v>295</v>
      </c>
      <c r="S63" s="1260"/>
      <c r="T63" s="1260"/>
      <c r="U63" s="1262"/>
      <c r="V63" s="1307"/>
      <c r="W63" s="1331"/>
      <c r="X63"/>
      <c r="AH63" s="635"/>
    </row>
    <row r="64" spans="1:34" ht="15" customHeight="1" x14ac:dyDescent="0.25">
      <c r="A64" s="1284" t="s">
        <v>91</v>
      </c>
      <c r="B64" s="65"/>
      <c r="C64" s="295">
        <f>+S$43</f>
        <v>15567.967414601571</v>
      </c>
      <c r="D64" s="845"/>
      <c r="E64" s="1523"/>
      <c r="F64" s="1532">
        <f>+S141</f>
        <v>715.82885308982304</v>
      </c>
      <c r="G64" s="790">
        <f>Energiebesparing!C9-Energiebesparing!E9-G62</f>
        <v>195</v>
      </c>
      <c r="H64" s="1536"/>
      <c r="I64" s="1150"/>
      <c r="J64" s="1550"/>
      <c r="K64" s="1557">
        <f>+G64*Energiebesparing!E17</f>
        <v>16.280166096726919</v>
      </c>
      <c r="L64" s="1561">
        <f>+F64/K64</f>
        <v>43.969382673174223</v>
      </c>
      <c r="M64" s="1345"/>
      <c r="N64" s="1572">
        <f>+L64</f>
        <v>43.969382673174223</v>
      </c>
      <c r="O64" s="1589">
        <v>1000</v>
      </c>
      <c r="P64" s="1590">
        <v>0.1</v>
      </c>
      <c r="Q64" s="1591">
        <f>P64*O64</f>
        <v>100</v>
      </c>
      <c r="R64" s="102" t="s">
        <v>297</v>
      </c>
      <c r="S64" s="348"/>
      <c r="T64" s="348"/>
      <c r="U64" s="125"/>
      <c r="V64" s="1308"/>
      <c r="W64" s="1330"/>
      <c r="AD64" s="2"/>
      <c r="AE64"/>
      <c r="AH64" s="2"/>
    </row>
    <row r="65" spans="1:34" ht="15" customHeight="1" thickBot="1" x14ac:dyDescent="0.3">
      <c r="A65" s="1285" t="s">
        <v>452</v>
      </c>
      <c r="B65" s="292"/>
      <c r="C65" s="297">
        <f>+T$43</f>
        <v>1833.9179999999978</v>
      </c>
      <c r="D65" s="1151"/>
      <c r="E65" s="1524"/>
      <c r="F65" s="1533">
        <f>T141</f>
        <v>229.23974999999973</v>
      </c>
      <c r="G65" s="1152" t="s">
        <v>535</v>
      </c>
      <c r="H65" s="1537"/>
      <c r="I65" s="1153"/>
      <c r="J65" s="1551"/>
      <c r="K65" s="1551"/>
      <c r="L65" s="1562"/>
      <c r="M65" s="125"/>
      <c r="N65" s="1573"/>
      <c r="O65" s="1592"/>
      <c r="P65" s="1584"/>
      <c r="Q65" s="1585"/>
      <c r="R65" s="1154" t="s">
        <v>298</v>
      </c>
      <c r="S65" s="1155"/>
      <c r="T65" s="1155"/>
      <c r="U65" s="1156"/>
      <c r="V65" s="1309"/>
      <c r="W65" s="1332"/>
      <c r="AD65" s="2"/>
      <c r="AE65"/>
      <c r="AH65" s="2"/>
    </row>
    <row r="66" spans="1:34" ht="15" customHeight="1" thickBot="1" x14ac:dyDescent="0.3">
      <c r="A66" s="1286" t="s">
        <v>1030</v>
      </c>
      <c r="B66" s="912"/>
      <c r="C66" s="909">
        <f>SUM(C50:C65)</f>
        <v>107229.90126097237</v>
      </c>
      <c r="D66" s="1157">
        <f>SUM(D50:D65)</f>
        <v>0.14337781485148515</v>
      </c>
      <c r="E66" s="1526">
        <f>SUM(E50:E61)/(D66*100)</f>
        <v>4595.8567516305666</v>
      </c>
      <c r="F66" s="1525">
        <f>SUM(F50:F65)</f>
        <v>6934.7203636693494</v>
      </c>
      <c r="G66" s="1158">
        <f>SUM(G50:G65)</f>
        <v>519.62318600000003</v>
      </c>
      <c r="H66" s="1525"/>
      <c r="I66" s="911">
        <f>SUM(I50:I65)</f>
        <v>80450.884999999995</v>
      </c>
      <c r="J66" s="1552"/>
      <c r="K66" s="1558">
        <f>SUM(K50:K65)</f>
        <v>43.393039424198321</v>
      </c>
      <c r="L66" s="1525"/>
      <c r="M66" s="1346"/>
      <c r="N66" s="1574"/>
      <c r="O66" s="1564"/>
      <c r="P66" s="1565">
        <f>SUM(P50:P65)</f>
        <v>1.0000000000000002</v>
      </c>
      <c r="Q66" s="1566">
        <f>SUM(Q50:Q65)</f>
        <v>3426.1300748093686</v>
      </c>
      <c r="R66" s="912"/>
      <c r="S66" s="912"/>
      <c r="T66" s="912"/>
      <c r="U66" s="912"/>
      <c r="V66" s="912"/>
      <c r="W66" s="1333"/>
      <c r="AD66" s="2"/>
      <c r="AE66"/>
      <c r="AH66" s="2"/>
    </row>
    <row r="67" spans="1:34" ht="15.75" x14ac:dyDescent="0.25">
      <c r="A67" s="838" t="s">
        <v>1134</v>
      </c>
      <c r="C67" s="294">
        <f>C66-107230</f>
        <v>-9.8739027627743781E-2</v>
      </c>
      <c r="D67" s="294"/>
      <c r="E67" s="367"/>
      <c r="F67" s="65"/>
      <c r="G67" s="837"/>
      <c r="H67" s="350"/>
      <c r="I67" s="350"/>
      <c r="J67" s="838" t="s">
        <v>534</v>
      </c>
      <c r="K67" s="604">
        <f>+Energiebesparing!E16</f>
        <v>0.22522576810127304</v>
      </c>
      <c r="L67" s="605"/>
      <c r="P67" s="1303"/>
      <c r="Q67" s="125"/>
      <c r="S67" s="350"/>
      <c r="T67" s="254"/>
      <c r="U67" s="255"/>
      <c r="V67" s="121"/>
      <c r="W67" s="605"/>
      <c r="X67" s="125"/>
      <c r="Y67" s="125"/>
    </row>
    <row r="68" spans="1:34" ht="15.75" x14ac:dyDescent="0.25">
      <c r="A68" s="287"/>
      <c r="B68" s="65"/>
      <c r="C68" s="294"/>
      <c r="D68" s="294"/>
      <c r="E68" s="65"/>
      <c r="F68" s="65"/>
      <c r="G68" s="367" t="s">
        <v>536</v>
      </c>
      <c r="H68" s="350"/>
      <c r="I68" s="350"/>
      <c r="J68" s="838"/>
      <c r="K68" s="604"/>
      <c r="L68" s="605"/>
      <c r="M68" s="125"/>
      <c r="N68" s="349"/>
      <c r="O68" s="349"/>
      <c r="P68" s="349"/>
      <c r="Q68" s="125"/>
      <c r="R68" s="350"/>
      <c r="S68" s="255"/>
      <c r="T68" s="121"/>
      <c r="U68" s="121"/>
      <c r="V68" s="15"/>
      <c r="AC68" s="2"/>
      <c r="AE68"/>
    </row>
    <row r="69" spans="1:34" ht="15.75" x14ac:dyDescent="0.25">
      <c r="A69" s="65"/>
      <c r="B69" s="287" t="str">
        <f>+Resultaatmatrix!D96</f>
        <v>Waarvan al uitgegeven tm 2015</v>
      </c>
      <c r="C69" s="855">
        <f>+Resultaatmatrix!E96</f>
        <v>0</v>
      </c>
      <c r="D69" s="123"/>
      <c r="E69" s="367"/>
      <c r="F69" s="837"/>
      <c r="G69" s="1513" t="s">
        <v>1127</v>
      </c>
      <c r="H69" s="350"/>
      <c r="I69" s="65"/>
      <c r="J69" s="65"/>
      <c r="K69" s="65"/>
      <c r="L69" s="65"/>
      <c r="M69" s="65"/>
      <c r="N69" s="65"/>
      <c r="O69" s="65"/>
      <c r="P69" s="65"/>
      <c r="Q69" s="65"/>
      <c r="R69" s="350"/>
      <c r="S69" s="254"/>
      <c r="T69" s="255"/>
      <c r="U69" s="121"/>
      <c r="V69" s="121"/>
      <c r="W69" s="15"/>
    </row>
    <row r="70" spans="1:34" ht="33" customHeight="1" x14ac:dyDescent="0.25">
      <c r="A70" s="1769" t="str">
        <f>+Resultaatmatrix!D97</f>
        <v xml:space="preserve">Waarvan al uitgeven of toegekend per eind 2016 (excl SDE+) </v>
      </c>
      <c r="B70" s="1770"/>
      <c r="C70" s="855">
        <f>+Resultaatmatrix!E97</f>
        <v>30808.744472370909</v>
      </c>
      <c r="D70" s="123"/>
      <c r="E70" s="858"/>
      <c r="F70" s="65"/>
      <c r="G70" s="350"/>
      <c r="H70" s="350"/>
      <c r="I70" s="65"/>
      <c r="J70" s="65"/>
      <c r="K70" s="65"/>
      <c r="L70" s="65"/>
      <c r="M70" s="65"/>
      <c r="N70" s="65"/>
      <c r="O70" s="65"/>
      <c r="P70" s="65"/>
      <c r="Q70" s="65"/>
      <c r="R70" s="65"/>
      <c r="S70" s="125"/>
      <c r="T70" s="349"/>
      <c r="U70" s="121"/>
      <c r="V70" s="121"/>
    </row>
    <row r="71" spans="1:34" ht="15.75" x14ac:dyDescent="0.25">
      <c r="A71" s="65"/>
      <c r="B71" s="287" t="str">
        <f>+Resultaatmatrix!D102</f>
        <v>Nog toe te kennen en uit te geven na 2016</v>
      </c>
      <c r="C71" s="855">
        <f>+Resultaatmatrix!E102</f>
        <v>56657.780288601469</v>
      </c>
      <c r="D71" s="123"/>
      <c r="E71" s="78"/>
      <c r="F71" s="837"/>
      <c r="G71" s="65"/>
      <c r="H71" s="65"/>
      <c r="I71" s="65"/>
      <c r="J71" s="65"/>
      <c r="K71" s="851"/>
      <c r="L71" s="65"/>
      <c r="M71" s="65"/>
      <c r="N71" s="65"/>
      <c r="O71" s="241"/>
      <c r="P71" s="65"/>
      <c r="Q71" s="65"/>
      <c r="R71" s="350"/>
      <c r="S71" s="350"/>
      <c r="T71" s="255"/>
      <c r="U71" s="121"/>
      <c r="V71" s="121"/>
    </row>
    <row r="72" spans="1:34" ht="15.75" x14ac:dyDescent="0.25">
      <c r="A72" s="65"/>
      <c r="B72" s="1599" t="s">
        <v>1135</v>
      </c>
      <c r="C72" s="1605">
        <f>SUM(C50:C53)+ C55+C56+C57+C58+C59</f>
        <v>48958.357777777768</v>
      </c>
      <c r="D72" s="123"/>
      <c r="G72" s="241"/>
      <c r="H72" s="65"/>
      <c r="I72" s="65"/>
      <c r="J72" s="65"/>
      <c r="K72" s="241"/>
      <c r="L72" s="65"/>
      <c r="M72" s="65"/>
      <c r="N72" s="65"/>
      <c r="O72" s="65"/>
      <c r="P72" s="65"/>
      <c r="Q72" s="65"/>
      <c r="R72" s="350"/>
      <c r="S72" s="350"/>
      <c r="T72" s="255"/>
      <c r="U72" s="121"/>
      <c r="V72" s="121"/>
    </row>
    <row r="73" spans="1:34" ht="15.75" x14ac:dyDescent="0.25">
      <c r="B73" s="1602" t="s">
        <v>1136</v>
      </c>
      <c r="C73" s="1601">
        <f>C72/C66</f>
        <v>0.4565737467073166</v>
      </c>
      <c r="K73" s="1637"/>
      <c r="P73" s="1638"/>
    </row>
    <row r="74" spans="1:34" ht="15.75" x14ac:dyDescent="0.25">
      <c r="A74" s="65"/>
      <c r="B74" s="287" t="s">
        <v>290</v>
      </c>
      <c r="C74" s="856">
        <f>+D66</f>
        <v>0.14337781485148515</v>
      </c>
      <c r="D74" s="123"/>
      <c r="E74" s="78"/>
      <c r="F74" s="837"/>
      <c r="G74" s="350"/>
      <c r="H74" s="350"/>
      <c r="I74" s="348"/>
      <c r="J74" s="348"/>
      <c r="K74" s="125"/>
      <c r="L74" s="125"/>
      <c r="M74" s="349"/>
      <c r="N74" s="349"/>
      <c r="O74" s="349"/>
      <c r="P74" s="125"/>
      <c r="Q74" s="350"/>
      <c r="R74" s="350"/>
      <c r="S74" s="350"/>
      <c r="T74" s="255"/>
      <c r="U74" s="121"/>
      <c r="V74" s="121"/>
    </row>
    <row r="75" spans="1:34" ht="15.75" x14ac:dyDescent="0.25">
      <c r="A75" s="65"/>
      <c r="B75" s="839" t="s">
        <v>619</v>
      </c>
      <c r="C75" s="855">
        <f>+E66</f>
        <v>4595.8567516305666</v>
      </c>
      <c r="D75" s="123"/>
      <c r="E75" s="78"/>
      <c r="F75" s="837"/>
      <c r="G75" s="350"/>
      <c r="H75" s="350"/>
      <c r="I75" s="348"/>
      <c r="J75" s="348"/>
      <c r="K75" s="125"/>
      <c r="L75" s="125"/>
      <c r="M75" s="349"/>
      <c r="N75" s="349"/>
      <c r="O75" s="349"/>
      <c r="P75" s="125"/>
      <c r="Q75" s="350"/>
      <c r="R75" s="350"/>
      <c r="S75" s="350"/>
      <c r="T75" s="255"/>
      <c r="U75" s="121"/>
      <c r="V75" s="121"/>
    </row>
    <row r="76" spans="1:34" ht="15.75" x14ac:dyDescent="0.25">
      <c r="A76" s="65"/>
      <c r="B76" s="287" t="s">
        <v>641</v>
      </c>
      <c r="C76" s="857">
        <f>SUM(K50:K61)</f>
        <v>26.797873327471404</v>
      </c>
      <c r="D76" s="123" t="s">
        <v>642</v>
      </c>
      <c r="E76" s="78"/>
      <c r="F76" s="837"/>
      <c r="G76" s="350"/>
      <c r="H76" s="350"/>
      <c r="I76" s="348"/>
      <c r="J76" s="348"/>
      <c r="K76" s="125"/>
      <c r="L76" s="125"/>
      <c r="M76" s="349"/>
      <c r="N76" s="349"/>
      <c r="O76" s="349"/>
      <c r="P76" s="125"/>
      <c r="Q76" s="350"/>
      <c r="R76" s="350"/>
      <c r="S76" s="350"/>
      <c r="T76" s="255"/>
      <c r="U76" s="121"/>
      <c r="V76" s="121"/>
    </row>
    <row r="77" spans="1:34" ht="15.75" x14ac:dyDescent="0.25">
      <c r="A77" s="847"/>
      <c r="B77" s="860"/>
      <c r="C77" s="861"/>
      <c r="D77" s="849"/>
      <c r="E77" s="853"/>
      <c r="F77" s="847"/>
      <c r="G77" s="503"/>
      <c r="H77" s="65"/>
      <c r="I77" s="65"/>
      <c r="J77" s="65"/>
      <c r="K77" s="65"/>
      <c r="L77" s="65"/>
      <c r="M77" s="65"/>
      <c r="N77" s="65"/>
      <c r="O77" s="65"/>
      <c r="P77" s="65"/>
      <c r="Q77" s="65"/>
      <c r="R77" s="65"/>
      <c r="S77" s="65"/>
      <c r="T77" s="65"/>
      <c r="U77" s="65"/>
      <c r="V77" s="65"/>
    </row>
    <row r="78" spans="1:34" ht="15.75" x14ac:dyDescent="0.25">
      <c r="A78" s="847"/>
      <c r="B78" s="848"/>
      <c r="C78" s="854"/>
      <c r="D78" s="849"/>
      <c r="E78" s="849"/>
      <c r="F78" s="503"/>
      <c r="G78" s="503"/>
      <c r="H78" s="65"/>
      <c r="I78" s="65"/>
      <c r="J78" s="65"/>
      <c r="K78" s="65"/>
      <c r="L78" s="65"/>
      <c r="M78" s="65"/>
      <c r="N78" s="65"/>
      <c r="O78" s="65"/>
      <c r="P78" s="65"/>
      <c r="Q78" s="65"/>
      <c r="R78" s="65"/>
      <c r="S78" s="65"/>
      <c r="T78" s="65"/>
      <c r="U78" s="65"/>
      <c r="V78" s="65"/>
    </row>
    <row r="79" spans="1:34" ht="15.75" x14ac:dyDescent="0.25">
      <c r="A79" s="65"/>
      <c r="B79" s="73"/>
      <c r="C79" s="501"/>
      <c r="D79" s="29"/>
      <c r="E79" s="29"/>
      <c r="F79" s="65"/>
      <c r="G79" s="65"/>
      <c r="H79" s="65"/>
      <c r="I79" s="65"/>
      <c r="J79" s="65"/>
      <c r="K79" s="65"/>
      <c r="L79" s="65"/>
      <c r="M79" s="65"/>
      <c r="N79" s="65"/>
      <c r="O79" s="65"/>
      <c r="P79" s="65"/>
      <c r="Q79" s="65"/>
      <c r="R79" s="65"/>
      <c r="S79" s="65"/>
      <c r="T79" s="65"/>
      <c r="U79" s="65"/>
      <c r="V79" s="65"/>
    </row>
    <row r="80" spans="1:34" ht="15.75" x14ac:dyDescent="0.25">
      <c r="A80" s="78"/>
      <c r="B80" s="78"/>
      <c r="C80" s="77"/>
      <c r="D80" s="77"/>
      <c r="E80" s="108"/>
      <c r="F80" s="276"/>
      <c r="G80" s="276"/>
      <c r="H80" s="272"/>
      <c r="I80" s="272"/>
      <c r="J80" s="17"/>
      <c r="K80" s="17"/>
      <c r="L80" s="17"/>
      <c r="M80" s="275"/>
      <c r="N80" s="275"/>
      <c r="O80" s="275"/>
      <c r="P80" s="17"/>
      <c r="Q80" s="276"/>
      <c r="R80" s="276"/>
      <c r="S80" s="276"/>
      <c r="T80" s="277"/>
      <c r="U80" s="15"/>
      <c r="V80" s="15"/>
    </row>
    <row r="81" spans="1:39" ht="15.75" x14ac:dyDescent="0.25">
      <c r="A81" s="131" t="s">
        <v>1141</v>
      </c>
      <c r="B81" s="269"/>
      <c r="C81" s="77"/>
      <c r="D81" s="77"/>
      <c r="E81" s="285"/>
      <c r="F81" s="285"/>
      <c r="G81" s="285"/>
      <c r="H81" s="285"/>
      <c r="I81" s="285"/>
      <c r="J81" s="285"/>
      <c r="K81" s="285"/>
      <c r="L81" s="285"/>
      <c r="M81" s="285"/>
      <c r="N81" s="285"/>
      <c r="O81" s="285"/>
      <c r="P81" s="285"/>
      <c r="Q81" s="285"/>
      <c r="R81" s="285"/>
      <c r="S81" s="285"/>
      <c r="T81" s="277"/>
      <c r="U81" s="15"/>
      <c r="V81" s="307"/>
    </row>
    <row r="82" spans="1:39" ht="94.5" x14ac:dyDescent="0.25">
      <c r="A82" s="932" t="s">
        <v>723</v>
      </c>
      <c r="B82" s="1616" t="s">
        <v>85</v>
      </c>
      <c r="C82" s="1616" t="s">
        <v>481</v>
      </c>
      <c r="D82" s="1617" t="s">
        <v>1142</v>
      </c>
      <c r="E82" s="1616" t="s">
        <v>487</v>
      </c>
      <c r="F82" s="1617" t="s">
        <v>1145</v>
      </c>
      <c r="G82" s="1616" t="s">
        <v>200</v>
      </c>
      <c r="H82" s="1616" t="s">
        <v>199</v>
      </c>
      <c r="I82" s="1616" t="s">
        <v>299</v>
      </c>
      <c r="J82" s="1616" t="s">
        <v>300</v>
      </c>
      <c r="K82" s="1616" t="s">
        <v>235</v>
      </c>
      <c r="L82" s="1616" t="s">
        <v>1147</v>
      </c>
      <c r="M82" s="1616" t="s">
        <v>1146</v>
      </c>
      <c r="N82" s="1616" t="s">
        <v>463</v>
      </c>
      <c r="O82" s="1616" t="s">
        <v>464</v>
      </c>
      <c r="P82" s="1616" t="s">
        <v>1148</v>
      </c>
      <c r="Q82" s="1616" t="s">
        <v>577</v>
      </c>
      <c r="R82" s="1616" t="s">
        <v>1143</v>
      </c>
      <c r="S82" s="1616" t="s">
        <v>1144</v>
      </c>
      <c r="T82" s="1616" t="s">
        <v>452</v>
      </c>
      <c r="U82" s="1618" t="s">
        <v>16</v>
      </c>
      <c r="V82" s="15"/>
      <c r="AD82" s="17"/>
      <c r="AE82" s="66"/>
      <c r="AF82" s="17"/>
      <c r="AG82" s="17"/>
      <c r="AH82" s="17"/>
      <c r="AI82" s="17"/>
      <c r="AJ82" s="17"/>
    </row>
    <row r="83" spans="1:39" ht="15.75" x14ac:dyDescent="0.25">
      <c r="A83" s="103" t="s">
        <v>489</v>
      </c>
      <c r="B83" s="642"/>
      <c r="C83" s="642"/>
      <c r="D83" s="103"/>
      <c r="E83" s="929"/>
      <c r="F83" s="931">
        <f t="shared" ref="F83:R83" si="10">+F6</f>
        <v>147</v>
      </c>
      <c r="G83" s="931">
        <f t="shared" si="10"/>
        <v>4043.7</v>
      </c>
      <c r="H83" s="931">
        <f t="shared" si="10"/>
        <v>780.84999999999991</v>
      </c>
      <c r="I83" s="931">
        <f t="shared" si="10"/>
        <v>253</v>
      </c>
      <c r="J83" s="931">
        <f t="shared" si="10"/>
        <v>0</v>
      </c>
      <c r="K83" s="931">
        <f t="shared" si="10"/>
        <v>0</v>
      </c>
      <c r="L83" s="931">
        <f t="shared" si="10"/>
        <v>0</v>
      </c>
      <c r="M83" s="931">
        <f t="shared" si="10"/>
        <v>0</v>
      </c>
      <c r="N83" s="931">
        <f t="shared" si="10"/>
        <v>10275.450000000001</v>
      </c>
      <c r="O83" s="931">
        <f t="shared" si="10"/>
        <v>0</v>
      </c>
      <c r="P83" s="931">
        <f t="shared" si="10"/>
        <v>0</v>
      </c>
      <c r="Q83" s="931">
        <f t="shared" si="10"/>
        <v>0</v>
      </c>
      <c r="R83" s="931">
        <f t="shared" si="10"/>
        <v>0</v>
      </c>
      <c r="S83" s="929"/>
      <c r="T83" s="929"/>
      <c r="U83" s="103">
        <f>SUM(F83:T83)</f>
        <v>15500</v>
      </c>
      <c r="V83" s="15"/>
      <c r="AD83" s="63"/>
      <c r="AE83" s="101"/>
      <c r="AF83" s="62"/>
      <c r="AG83" s="62"/>
      <c r="AH83" s="62"/>
      <c r="AI83" s="62"/>
      <c r="AJ83" s="62"/>
      <c r="AK83" s="299"/>
      <c r="AL83" s="299"/>
      <c r="AM83" s="299"/>
    </row>
    <row r="84" spans="1:39" ht="15.75" x14ac:dyDescent="0.25">
      <c r="A84" s="107">
        <v>2003</v>
      </c>
      <c r="B84" s="1606">
        <f t="shared" ref="B84:D114" si="11">+B7</f>
        <v>400</v>
      </c>
      <c r="C84" s="1606">
        <f t="shared" si="11"/>
        <v>0</v>
      </c>
      <c r="D84" s="1606">
        <f t="shared" si="11"/>
        <v>0</v>
      </c>
      <c r="E84" s="930">
        <f>SUM(B84:D84)</f>
        <v>400</v>
      </c>
      <c r="F84" s="896">
        <f t="shared" ref="F84:T93" si="12">$E84*F$83/$U$83</f>
        <v>3.7935483870967741</v>
      </c>
      <c r="G84" s="896">
        <f t="shared" si="12"/>
        <v>104.35354838709678</v>
      </c>
      <c r="H84" s="896">
        <f t="shared" si="12"/>
        <v>20.150967741935482</v>
      </c>
      <c r="I84" s="896">
        <f t="shared" si="12"/>
        <v>6.5290322580645164</v>
      </c>
      <c r="J84" s="896">
        <f t="shared" si="12"/>
        <v>0</v>
      </c>
      <c r="K84" s="896">
        <f t="shared" si="12"/>
        <v>0</v>
      </c>
      <c r="L84" s="896">
        <f t="shared" si="12"/>
        <v>0</v>
      </c>
      <c r="M84" s="896">
        <f t="shared" si="12"/>
        <v>0</v>
      </c>
      <c r="N84" s="896">
        <f t="shared" si="12"/>
        <v>265.17290322580646</v>
      </c>
      <c r="O84" s="896">
        <f t="shared" si="12"/>
        <v>0</v>
      </c>
      <c r="P84" s="896">
        <f t="shared" si="12"/>
        <v>0</v>
      </c>
      <c r="Q84" s="896">
        <f t="shared" si="12"/>
        <v>0</v>
      </c>
      <c r="R84" s="896">
        <f t="shared" si="12"/>
        <v>0</v>
      </c>
      <c r="S84" s="896">
        <f t="shared" si="12"/>
        <v>0</v>
      </c>
      <c r="T84" s="897">
        <f t="shared" si="12"/>
        <v>0</v>
      </c>
      <c r="U84" s="15"/>
      <c r="V84" s="307"/>
    </row>
    <row r="85" spans="1:39" ht="15.75" x14ac:dyDescent="0.25">
      <c r="A85" s="107">
        <v>2004</v>
      </c>
      <c r="B85" s="1606">
        <f t="shared" si="11"/>
        <v>450</v>
      </c>
      <c r="C85" s="1606">
        <f t="shared" si="11"/>
        <v>0</v>
      </c>
      <c r="D85" s="1606">
        <f t="shared" si="11"/>
        <v>0</v>
      </c>
      <c r="E85" s="930">
        <f t="shared" ref="E85:E116" si="13">SUM(B85:D85)</f>
        <v>450</v>
      </c>
      <c r="F85" s="896">
        <f t="shared" si="12"/>
        <v>4.2677419354838708</v>
      </c>
      <c r="G85" s="896">
        <f t="shared" si="12"/>
        <v>117.39774193548386</v>
      </c>
      <c r="H85" s="896">
        <f t="shared" si="12"/>
        <v>22.669838709677414</v>
      </c>
      <c r="I85" s="896">
        <f t="shared" si="12"/>
        <v>7.3451612903225802</v>
      </c>
      <c r="J85" s="896">
        <f t="shared" si="12"/>
        <v>0</v>
      </c>
      <c r="K85" s="896">
        <f t="shared" si="12"/>
        <v>0</v>
      </c>
      <c r="L85" s="896">
        <f t="shared" si="12"/>
        <v>0</v>
      </c>
      <c r="M85" s="896">
        <f t="shared" si="12"/>
        <v>0</v>
      </c>
      <c r="N85" s="896">
        <f t="shared" si="12"/>
        <v>298.31951612903225</v>
      </c>
      <c r="O85" s="896">
        <f t="shared" si="12"/>
        <v>0</v>
      </c>
      <c r="P85" s="896">
        <f t="shared" si="12"/>
        <v>0</v>
      </c>
      <c r="Q85" s="896">
        <f t="shared" si="12"/>
        <v>0</v>
      </c>
      <c r="R85" s="896">
        <f t="shared" si="12"/>
        <v>0</v>
      </c>
      <c r="S85" s="896">
        <f t="shared" si="12"/>
        <v>0</v>
      </c>
      <c r="T85" s="897">
        <f t="shared" si="12"/>
        <v>0</v>
      </c>
      <c r="U85" s="15"/>
      <c r="V85" s="307"/>
      <c r="W85" s="307"/>
      <c r="X85" s="100"/>
    </row>
    <row r="86" spans="1:39" ht="15.75" x14ac:dyDescent="0.25">
      <c r="A86" s="107">
        <v>2005</v>
      </c>
      <c r="B86" s="1606">
        <f t="shared" si="11"/>
        <v>450</v>
      </c>
      <c r="C86" s="1606">
        <f t="shared" si="11"/>
        <v>0</v>
      </c>
      <c r="D86" s="1606">
        <f t="shared" si="11"/>
        <v>0</v>
      </c>
      <c r="E86" s="930">
        <f t="shared" si="13"/>
        <v>450</v>
      </c>
      <c r="F86" s="896">
        <f t="shared" si="12"/>
        <v>4.2677419354838708</v>
      </c>
      <c r="G86" s="896">
        <f t="shared" si="12"/>
        <v>117.39774193548386</v>
      </c>
      <c r="H86" s="896">
        <f t="shared" si="12"/>
        <v>22.669838709677414</v>
      </c>
      <c r="I86" s="896">
        <f t="shared" si="12"/>
        <v>7.3451612903225802</v>
      </c>
      <c r="J86" s="896">
        <f t="shared" si="12"/>
        <v>0</v>
      </c>
      <c r="K86" s="896">
        <f t="shared" si="12"/>
        <v>0</v>
      </c>
      <c r="L86" s="896">
        <f t="shared" si="12"/>
        <v>0</v>
      </c>
      <c r="M86" s="896">
        <f t="shared" si="12"/>
        <v>0</v>
      </c>
      <c r="N86" s="896">
        <f t="shared" si="12"/>
        <v>298.31951612903225</v>
      </c>
      <c r="O86" s="896">
        <f t="shared" si="12"/>
        <v>0</v>
      </c>
      <c r="P86" s="896">
        <f t="shared" si="12"/>
        <v>0</v>
      </c>
      <c r="Q86" s="896">
        <f t="shared" si="12"/>
        <v>0</v>
      </c>
      <c r="R86" s="896">
        <f t="shared" si="12"/>
        <v>0</v>
      </c>
      <c r="S86" s="896">
        <f t="shared" si="12"/>
        <v>0</v>
      </c>
      <c r="T86" s="897">
        <f t="shared" si="12"/>
        <v>0</v>
      </c>
      <c r="U86" s="15"/>
      <c r="V86" s="307"/>
      <c r="W86" s="307"/>
      <c r="X86" s="100"/>
    </row>
    <row r="87" spans="1:39" ht="15.75" x14ac:dyDescent="0.25">
      <c r="A87" s="107">
        <v>2006</v>
      </c>
      <c r="B87" s="1606">
        <f t="shared" si="11"/>
        <v>450</v>
      </c>
      <c r="C87" s="1606">
        <f t="shared" si="11"/>
        <v>0</v>
      </c>
      <c r="D87" s="1606">
        <f t="shared" si="11"/>
        <v>0</v>
      </c>
      <c r="E87" s="930">
        <f>SUM(B87:D87)</f>
        <v>450</v>
      </c>
      <c r="F87" s="896">
        <f t="shared" si="12"/>
        <v>4.2677419354838708</v>
      </c>
      <c r="G87" s="896">
        <f t="shared" si="12"/>
        <v>117.39774193548386</v>
      </c>
      <c r="H87" s="896">
        <f t="shared" si="12"/>
        <v>22.669838709677414</v>
      </c>
      <c r="I87" s="896">
        <f t="shared" si="12"/>
        <v>7.3451612903225802</v>
      </c>
      <c r="J87" s="896">
        <f t="shared" si="12"/>
        <v>0</v>
      </c>
      <c r="K87" s="896">
        <f t="shared" si="12"/>
        <v>0</v>
      </c>
      <c r="L87" s="896">
        <f t="shared" si="12"/>
        <v>0</v>
      </c>
      <c r="M87" s="896">
        <f t="shared" si="12"/>
        <v>0</v>
      </c>
      <c r="N87" s="896">
        <f t="shared" si="12"/>
        <v>298.31951612903225</v>
      </c>
      <c r="O87" s="896">
        <f t="shared" si="12"/>
        <v>0</v>
      </c>
      <c r="P87" s="896">
        <f t="shared" si="12"/>
        <v>0</v>
      </c>
      <c r="Q87" s="896">
        <f t="shared" si="12"/>
        <v>0</v>
      </c>
      <c r="R87" s="896">
        <f t="shared" si="12"/>
        <v>0</v>
      </c>
      <c r="S87" s="896">
        <f t="shared" si="12"/>
        <v>0</v>
      </c>
      <c r="T87" s="897">
        <f t="shared" si="12"/>
        <v>0</v>
      </c>
      <c r="U87" s="15"/>
      <c r="V87" s="307"/>
      <c r="W87" s="307"/>
      <c r="X87" s="100"/>
    </row>
    <row r="88" spans="1:39" ht="15.75" x14ac:dyDescent="0.25">
      <c r="A88" s="107">
        <v>2007</v>
      </c>
      <c r="B88" s="1606">
        <f t="shared" si="11"/>
        <v>475</v>
      </c>
      <c r="C88" s="1606">
        <f t="shared" si="11"/>
        <v>0</v>
      </c>
      <c r="D88" s="1609">
        <f t="shared" si="11"/>
        <v>35.89</v>
      </c>
      <c r="E88" s="1097">
        <f t="shared" si="13"/>
        <v>510.89</v>
      </c>
      <c r="F88" s="896">
        <f t="shared" si="12"/>
        <v>4.8452148387096772</v>
      </c>
      <c r="G88" s="896">
        <f t="shared" si="12"/>
        <v>133.28296083870967</v>
      </c>
      <c r="H88" s="896">
        <f t="shared" si="12"/>
        <v>25.737319774193548</v>
      </c>
      <c r="I88" s="896">
        <f t="shared" si="12"/>
        <v>8.3390432258064511</v>
      </c>
      <c r="J88" s="896">
        <f t="shared" si="12"/>
        <v>0</v>
      </c>
      <c r="K88" s="896">
        <f t="shared" si="12"/>
        <v>0</v>
      </c>
      <c r="L88" s="896">
        <f t="shared" si="12"/>
        <v>0</v>
      </c>
      <c r="M88" s="896">
        <f t="shared" si="12"/>
        <v>0</v>
      </c>
      <c r="N88" s="896">
        <f t="shared" si="12"/>
        <v>338.68546132258069</v>
      </c>
      <c r="O88" s="896">
        <f t="shared" si="12"/>
        <v>0</v>
      </c>
      <c r="P88" s="896">
        <f t="shared" si="12"/>
        <v>0</v>
      </c>
      <c r="Q88" s="896">
        <f t="shared" si="12"/>
        <v>0</v>
      </c>
      <c r="R88" s="896">
        <f t="shared" si="12"/>
        <v>0</v>
      </c>
      <c r="S88" s="896">
        <f t="shared" si="12"/>
        <v>0</v>
      </c>
      <c r="T88" s="897">
        <f t="shared" si="12"/>
        <v>0</v>
      </c>
      <c r="U88" s="15"/>
      <c r="V88" s="307"/>
      <c r="W88" s="307"/>
      <c r="X88" s="100"/>
    </row>
    <row r="89" spans="1:39" ht="15.75" x14ac:dyDescent="0.25">
      <c r="A89" s="107">
        <v>2008</v>
      </c>
      <c r="B89" s="1606">
        <f t="shared" si="11"/>
        <v>500</v>
      </c>
      <c r="C89" s="1606">
        <f t="shared" si="11"/>
        <v>0</v>
      </c>
      <c r="D89" s="1609">
        <f t="shared" si="11"/>
        <v>78.085000000000008</v>
      </c>
      <c r="E89" s="1097">
        <f t="shared" si="13"/>
        <v>578.08500000000004</v>
      </c>
      <c r="F89" s="896">
        <f t="shared" si="12"/>
        <v>5.4824835483870977</v>
      </c>
      <c r="G89" s="896">
        <f t="shared" si="12"/>
        <v>150.81305254838708</v>
      </c>
      <c r="H89" s="896">
        <f t="shared" si="12"/>
        <v>29.122430467741935</v>
      </c>
      <c r="I89" s="896">
        <f t="shared" si="12"/>
        <v>9.4358390322580643</v>
      </c>
      <c r="J89" s="896">
        <f t="shared" si="12"/>
        <v>0</v>
      </c>
      <c r="K89" s="896">
        <f t="shared" si="12"/>
        <v>0</v>
      </c>
      <c r="L89" s="896">
        <f t="shared" si="12"/>
        <v>0</v>
      </c>
      <c r="M89" s="896">
        <f t="shared" si="12"/>
        <v>0</v>
      </c>
      <c r="N89" s="896">
        <f t="shared" si="12"/>
        <v>383.23119440322586</v>
      </c>
      <c r="O89" s="896">
        <f t="shared" si="12"/>
        <v>0</v>
      </c>
      <c r="P89" s="896">
        <f t="shared" si="12"/>
        <v>0</v>
      </c>
      <c r="Q89" s="896">
        <f t="shared" si="12"/>
        <v>0</v>
      </c>
      <c r="R89" s="896">
        <f t="shared" si="12"/>
        <v>0</v>
      </c>
      <c r="S89" s="896">
        <f t="shared" si="12"/>
        <v>0</v>
      </c>
      <c r="T89" s="897">
        <f t="shared" si="12"/>
        <v>0</v>
      </c>
      <c r="U89" s="15"/>
      <c r="V89" s="307"/>
      <c r="W89" s="307"/>
      <c r="X89" s="100"/>
    </row>
    <row r="90" spans="1:39" ht="15.75" x14ac:dyDescent="0.25">
      <c r="A90" s="107">
        <v>2009</v>
      </c>
      <c r="B90" s="1606">
        <f t="shared" si="11"/>
        <v>650</v>
      </c>
      <c r="C90" s="1606">
        <f t="shared" si="11"/>
        <v>0</v>
      </c>
      <c r="D90" s="1609">
        <f t="shared" si="11"/>
        <v>78.085000000000008</v>
      </c>
      <c r="E90" s="1097">
        <f t="shared" si="13"/>
        <v>728.08500000000004</v>
      </c>
      <c r="F90" s="896">
        <f t="shared" si="12"/>
        <v>6.9050641935483874</v>
      </c>
      <c r="G90" s="896">
        <f t="shared" si="12"/>
        <v>189.94563319354839</v>
      </c>
      <c r="H90" s="896">
        <f t="shared" si="12"/>
        <v>36.67904337096774</v>
      </c>
      <c r="I90" s="896">
        <f t="shared" si="12"/>
        <v>11.884226129032259</v>
      </c>
      <c r="J90" s="896">
        <f t="shared" si="12"/>
        <v>0</v>
      </c>
      <c r="K90" s="896">
        <f t="shared" si="12"/>
        <v>0</v>
      </c>
      <c r="L90" s="896">
        <f t="shared" si="12"/>
        <v>0</v>
      </c>
      <c r="M90" s="896">
        <f t="shared" si="12"/>
        <v>0</v>
      </c>
      <c r="N90" s="896">
        <f t="shared" si="12"/>
        <v>482.67103311290327</v>
      </c>
      <c r="O90" s="896">
        <f t="shared" si="12"/>
        <v>0</v>
      </c>
      <c r="P90" s="896">
        <f t="shared" si="12"/>
        <v>0</v>
      </c>
      <c r="Q90" s="896">
        <f t="shared" si="12"/>
        <v>0</v>
      </c>
      <c r="R90" s="896">
        <f t="shared" si="12"/>
        <v>0</v>
      </c>
      <c r="S90" s="896">
        <f t="shared" si="12"/>
        <v>0</v>
      </c>
      <c r="T90" s="897">
        <f t="shared" si="12"/>
        <v>0</v>
      </c>
      <c r="U90" s="15"/>
      <c r="V90" s="307"/>
      <c r="W90" s="307"/>
      <c r="X90" s="100"/>
    </row>
    <row r="91" spans="1:39" ht="15.75" x14ac:dyDescent="0.25">
      <c r="A91" s="107">
        <v>2010</v>
      </c>
      <c r="B91" s="1606">
        <f t="shared" si="11"/>
        <v>650</v>
      </c>
      <c r="C91" s="1606">
        <f t="shared" si="11"/>
        <v>25</v>
      </c>
      <c r="D91" s="1609">
        <f t="shared" si="11"/>
        <v>78.085000000000008</v>
      </c>
      <c r="E91" s="1097">
        <f t="shared" si="13"/>
        <v>753.08500000000004</v>
      </c>
      <c r="F91" s="896">
        <f t="shared" si="12"/>
        <v>7.142160967741936</v>
      </c>
      <c r="G91" s="896">
        <f t="shared" si="12"/>
        <v>196.46772996774192</v>
      </c>
      <c r="H91" s="896">
        <f t="shared" si="12"/>
        <v>37.938478854838706</v>
      </c>
      <c r="I91" s="896">
        <f t="shared" si="12"/>
        <v>12.292290645161291</v>
      </c>
      <c r="J91" s="896">
        <f t="shared" si="12"/>
        <v>0</v>
      </c>
      <c r="K91" s="896">
        <f t="shared" si="12"/>
        <v>0</v>
      </c>
      <c r="L91" s="896">
        <f t="shared" si="12"/>
        <v>0</v>
      </c>
      <c r="M91" s="896">
        <f t="shared" si="12"/>
        <v>0</v>
      </c>
      <c r="N91" s="896">
        <f t="shared" si="12"/>
        <v>499.24433956451617</v>
      </c>
      <c r="O91" s="896">
        <f t="shared" si="12"/>
        <v>0</v>
      </c>
      <c r="P91" s="896">
        <f t="shared" si="12"/>
        <v>0</v>
      </c>
      <c r="Q91" s="896">
        <f t="shared" si="12"/>
        <v>0</v>
      </c>
      <c r="R91" s="896">
        <f t="shared" si="12"/>
        <v>0</v>
      </c>
      <c r="S91" s="896">
        <f t="shared" si="12"/>
        <v>0</v>
      </c>
      <c r="T91" s="897">
        <f t="shared" si="12"/>
        <v>0</v>
      </c>
      <c r="U91" s="15"/>
      <c r="V91" s="307"/>
      <c r="W91" s="307"/>
      <c r="X91" s="100"/>
    </row>
    <row r="92" spans="1:39" ht="15.75" x14ac:dyDescent="0.25">
      <c r="A92" s="107">
        <v>2011</v>
      </c>
      <c r="B92" s="1606">
        <f t="shared" si="11"/>
        <v>650</v>
      </c>
      <c r="C92" s="1606">
        <f t="shared" si="11"/>
        <v>50</v>
      </c>
      <c r="D92" s="1609">
        <f t="shared" si="11"/>
        <v>78.085000000000008</v>
      </c>
      <c r="E92" s="1097">
        <f t="shared" si="13"/>
        <v>778.08500000000004</v>
      </c>
      <c r="F92" s="896">
        <f t="shared" si="12"/>
        <v>7.3792577419354846</v>
      </c>
      <c r="G92" s="896">
        <f t="shared" si="12"/>
        <v>202.98982674193547</v>
      </c>
      <c r="H92" s="896">
        <f t="shared" si="12"/>
        <v>39.197914338709673</v>
      </c>
      <c r="I92" s="896">
        <f t="shared" si="12"/>
        <v>12.700355161290323</v>
      </c>
      <c r="J92" s="896">
        <f t="shared" si="12"/>
        <v>0</v>
      </c>
      <c r="K92" s="896">
        <f t="shared" si="12"/>
        <v>0</v>
      </c>
      <c r="L92" s="896">
        <f t="shared" si="12"/>
        <v>0</v>
      </c>
      <c r="M92" s="896">
        <f t="shared" si="12"/>
        <v>0</v>
      </c>
      <c r="N92" s="896">
        <f t="shared" si="12"/>
        <v>515.81764601612906</v>
      </c>
      <c r="O92" s="896">
        <f t="shared" si="12"/>
        <v>0</v>
      </c>
      <c r="P92" s="896">
        <f t="shared" si="12"/>
        <v>0</v>
      </c>
      <c r="Q92" s="896">
        <f t="shared" si="12"/>
        <v>0</v>
      </c>
      <c r="R92" s="896">
        <f t="shared" si="12"/>
        <v>0</v>
      </c>
      <c r="S92" s="896">
        <f t="shared" si="12"/>
        <v>0</v>
      </c>
      <c r="T92" s="897">
        <f t="shared" si="12"/>
        <v>0</v>
      </c>
      <c r="U92" s="15"/>
      <c r="V92" s="307"/>
      <c r="W92" s="307"/>
      <c r="X92" s="100"/>
    </row>
    <row r="93" spans="1:39" ht="15.75" x14ac:dyDescent="0.25">
      <c r="A93" s="107">
        <v>2012</v>
      </c>
      <c r="B93" s="1606">
        <f t="shared" si="11"/>
        <v>650</v>
      </c>
      <c r="C93" s="1606">
        <f t="shared" si="11"/>
        <v>50</v>
      </c>
      <c r="D93" s="1609">
        <f t="shared" si="11"/>
        <v>78.085000000000008</v>
      </c>
      <c r="E93" s="1097">
        <f t="shared" si="13"/>
        <v>778.08500000000004</v>
      </c>
      <c r="F93" s="896">
        <f t="shared" si="12"/>
        <v>7.3792577419354846</v>
      </c>
      <c r="G93" s="896">
        <f t="shared" si="12"/>
        <v>202.98982674193547</v>
      </c>
      <c r="H93" s="896">
        <f t="shared" si="12"/>
        <v>39.197914338709673</v>
      </c>
      <c r="I93" s="896">
        <f t="shared" si="12"/>
        <v>12.700355161290323</v>
      </c>
      <c r="J93" s="896">
        <f t="shared" si="12"/>
        <v>0</v>
      </c>
      <c r="K93" s="896">
        <f t="shared" si="12"/>
        <v>0</v>
      </c>
      <c r="L93" s="896">
        <f t="shared" si="12"/>
        <v>0</v>
      </c>
      <c r="M93" s="896">
        <f t="shared" si="12"/>
        <v>0</v>
      </c>
      <c r="N93" s="896">
        <f t="shared" si="12"/>
        <v>515.81764601612906</v>
      </c>
      <c r="O93" s="896">
        <f t="shared" si="12"/>
        <v>0</v>
      </c>
      <c r="P93" s="896">
        <f t="shared" si="12"/>
        <v>0</v>
      </c>
      <c r="Q93" s="896">
        <f t="shared" si="12"/>
        <v>0</v>
      </c>
      <c r="R93" s="896">
        <f t="shared" si="12"/>
        <v>0</v>
      </c>
      <c r="S93" s="896">
        <f t="shared" si="12"/>
        <v>0</v>
      </c>
      <c r="T93" s="897">
        <f t="shared" si="12"/>
        <v>0</v>
      </c>
      <c r="U93" s="15"/>
      <c r="V93" s="307"/>
      <c r="W93" s="307"/>
      <c r="X93" s="100"/>
    </row>
    <row r="94" spans="1:39" ht="15.75" x14ac:dyDescent="0.25">
      <c r="A94" s="107">
        <v>2013</v>
      </c>
      <c r="B94" s="1606">
        <f t="shared" si="11"/>
        <v>500</v>
      </c>
      <c r="C94" s="1606">
        <f t="shared" si="11"/>
        <v>100</v>
      </c>
      <c r="D94" s="1609">
        <f t="shared" si="11"/>
        <v>78.085000000000008</v>
      </c>
      <c r="E94" s="1097">
        <f t="shared" si="13"/>
        <v>678.08500000000004</v>
      </c>
      <c r="F94" s="896">
        <f t="shared" ref="F94:T103" si="14">$E94*F$83/$U$83</f>
        <v>6.4308706451612911</v>
      </c>
      <c r="G94" s="896">
        <f t="shared" si="14"/>
        <v>176.90143964516128</v>
      </c>
      <c r="H94" s="896">
        <f t="shared" si="14"/>
        <v>34.160172403225801</v>
      </c>
      <c r="I94" s="896">
        <f t="shared" si="14"/>
        <v>11.068097096774194</v>
      </c>
      <c r="J94" s="896">
        <f t="shared" si="14"/>
        <v>0</v>
      </c>
      <c r="K94" s="896">
        <f t="shared" si="14"/>
        <v>0</v>
      </c>
      <c r="L94" s="896">
        <f t="shared" si="14"/>
        <v>0</v>
      </c>
      <c r="M94" s="896">
        <f t="shared" si="14"/>
        <v>0</v>
      </c>
      <c r="N94" s="896">
        <f t="shared" si="14"/>
        <v>449.52442020967749</v>
      </c>
      <c r="O94" s="896">
        <f t="shared" si="14"/>
        <v>0</v>
      </c>
      <c r="P94" s="896">
        <f t="shared" si="14"/>
        <v>0</v>
      </c>
      <c r="Q94" s="896">
        <f t="shared" si="14"/>
        <v>0</v>
      </c>
      <c r="R94" s="896">
        <f t="shared" si="14"/>
        <v>0</v>
      </c>
      <c r="S94" s="896">
        <f t="shared" si="14"/>
        <v>0</v>
      </c>
      <c r="T94" s="897">
        <f t="shared" si="14"/>
        <v>0</v>
      </c>
      <c r="U94" s="15"/>
      <c r="V94" s="307"/>
      <c r="W94" s="307"/>
      <c r="X94" s="100"/>
    </row>
    <row r="95" spans="1:39" ht="15.75" x14ac:dyDescent="0.25">
      <c r="A95" s="107">
        <v>2014</v>
      </c>
      <c r="B95" s="1606">
        <f t="shared" si="11"/>
        <v>300</v>
      </c>
      <c r="C95" s="1606">
        <f t="shared" si="11"/>
        <v>170</v>
      </c>
      <c r="D95" s="1609">
        <f t="shared" si="11"/>
        <v>78.085000000000008</v>
      </c>
      <c r="E95" s="1097">
        <f t="shared" si="13"/>
        <v>548.08500000000004</v>
      </c>
      <c r="F95" s="896">
        <f t="shared" si="14"/>
        <v>5.1979674193548391</v>
      </c>
      <c r="G95" s="896">
        <f t="shared" si="14"/>
        <v>142.98653641935482</v>
      </c>
      <c r="H95" s="896">
        <f t="shared" si="14"/>
        <v>27.611107887096775</v>
      </c>
      <c r="I95" s="896">
        <f t="shared" si="14"/>
        <v>8.9461616129032269</v>
      </c>
      <c r="J95" s="896">
        <f t="shared" si="14"/>
        <v>0</v>
      </c>
      <c r="K95" s="896">
        <f t="shared" si="14"/>
        <v>0</v>
      </c>
      <c r="L95" s="896">
        <f t="shared" si="14"/>
        <v>0</v>
      </c>
      <c r="M95" s="896">
        <f t="shared" si="14"/>
        <v>0</v>
      </c>
      <c r="N95" s="896">
        <f t="shared" si="14"/>
        <v>363.34322666129037</v>
      </c>
      <c r="O95" s="896">
        <f t="shared" si="14"/>
        <v>0</v>
      </c>
      <c r="P95" s="896">
        <f t="shared" si="14"/>
        <v>0</v>
      </c>
      <c r="Q95" s="896">
        <f t="shared" si="14"/>
        <v>0</v>
      </c>
      <c r="R95" s="896">
        <f t="shared" si="14"/>
        <v>0</v>
      </c>
      <c r="S95" s="896">
        <f t="shared" si="14"/>
        <v>0</v>
      </c>
      <c r="T95" s="897">
        <f t="shared" si="14"/>
        <v>0</v>
      </c>
      <c r="U95" s="15"/>
      <c r="V95" s="307"/>
      <c r="W95" s="307"/>
      <c r="X95" s="100"/>
    </row>
    <row r="96" spans="1:39" ht="15.75" x14ac:dyDescent="0.25">
      <c r="A96" s="107">
        <v>2015</v>
      </c>
      <c r="B96" s="1606">
        <f t="shared" si="11"/>
        <v>200</v>
      </c>
      <c r="C96" s="1606">
        <f t="shared" si="11"/>
        <v>320</v>
      </c>
      <c r="D96" s="1609">
        <f t="shared" si="11"/>
        <v>78.085000000000008</v>
      </c>
      <c r="E96" s="1097">
        <f t="shared" si="13"/>
        <v>598.08500000000004</v>
      </c>
      <c r="F96" s="896">
        <f t="shared" si="14"/>
        <v>5.6721609677419362</v>
      </c>
      <c r="G96" s="896">
        <f t="shared" si="14"/>
        <v>156.03072996774193</v>
      </c>
      <c r="H96" s="896">
        <f t="shared" si="14"/>
        <v>30.129978854838708</v>
      </c>
      <c r="I96" s="896">
        <f t="shared" si="14"/>
        <v>9.7622906451612899</v>
      </c>
      <c r="J96" s="896">
        <f t="shared" si="14"/>
        <v>0</v>
      </c>
      <c r="K96" s="896">
        <f t="shared" si="14"/>
        <v>0</v>
      </c>
      <c r="L96" s="896">
        <f t="shared" si="14"/>
        <v>0</v>
      </c>
      <c r="M96" s="896">
        <f t="shared" si="14"/>
        <v>0</v>
      </c>
      <c r="N96" s="896">
        <f t="shared" si="14"/>
        <v>396.48983956451616</v>
      </c>
      <c r="O96" s="896">
        <f t="shared" si="14"/>
        <v>0</v>
      </c>
      <c r="P96" s="896">
        <f t="shared" si="14"/>
        <v>0</v>
      </c>
      <c r="Q96" s="896">
        <f t="shared" si="14"/>
        <v>0</v>
      </c>
      <c r="R96" s="896">
        <f t="shared" si="14"/>
        <v>0</v>
      </c>
      <c r="S96" s="896">
        <f t="shared" si="14"/>
        <v>0</v>
      </c>
      <c r="T96" s="897">
        <f t="shared" si="14"/>
        <v>0</v>
      </c>
      <c r="U96" s="15"/>
      <c r="V96" s="307"/>
      <c r="W96" s="307"/>
      <c r="X96" s="100"/>
    </row>
    <row r="97" spans="1:24" ht="15.75" x14ac:dyDescent="0.25">
      <c r="A97" s="107">
        <v>2016</v>
      </c>
      <c r="B97" s="1606">
        <f t="shared" si="11"/>
        <v>200</v>
      </c>
      <c r="C97" s="1606">
        <f t="shared" si="11"/>
        <v>600</v>
      </c>
      <c r="D97" s="1609">
        <f t="shared" si="11"/>
        <v>78.085000000000008</v>
      </c>
      <c r="E97" s="1097">
        <f t="shared" si="13"/>
        <v>878.08500000000004</v>
      </c>
      <c r="F97" s="896">
        <f t="shared" si="14"/>
        <v>8.3276448387096789</v>
      </c>
      <c r="G97" s="896">
        <f t="shared" si="14"/>
        <v>229.07821383870967</v>
      </c>
      <c r="H97" s="896">
        <f t="shared" si="14"/>
        <v>44.235656274193545</v>
      </c>
      <c r="I97" s="896">
        <f t="shared" si="14"/>
        <v>14.332613225806451</v>
      </c>
      <c r="J97" s="896">
        <f t="shared" si="14"/>
        <v>0</v>
      </c>
      <c r="K97" s="896">
        <f t="shared" si="14"/>
        <v>0</v>
      </c>
      <c r="L97" s="896">
        <f t="shared" si="14"/>
        <v>0</v>
      </c>
      <c r="M97" s="896">
        <f t="shared" si="14"/>
        <v>0</v>
      </c>
      <c r="N97" s="896">
        <f t="shared" si="14"/>
        <v>582.11087182258075</v>
      </c>
      <c r="O97" s="896">
        <f t="shared" si="14"/>
        <v>0</v>
      </c>
      <c r="P97" s="896">
        <f t="shared" si="14"/>
        <v>0</v>
      </c>
      <c r="Q97" s="896">
        <f t="shared" si="14"/>
        <v>0</v>
      </c>
      <c r="R97" s="896">
        <f t="shared" si="14"/>
        <v>0</v>
      </c>
      <c r="S97" s="896">
        <f t="shared" si="14"/>
        <v>0</v>
      </c>
      <c r="T97" s="897">
        <f t="shared" si="14"/>
        <v>0</v>
      </c>
      <c r="U97" s="15"/>
      <c r="V97" s="307"/>
      <c r="W97" s="307"/>
      <c r="X97" s="100"/>
    </row>
    <row r="98" spans="1:24" ht="15.75" x14ac:dyDescent="0.25">
      <c r="A98" s="107">
        <v>2017</v>
      </c>
      <c r="B98" s="1606">
        <f t="shared" si="11"/>
        <v>150</v>
      </c>
      <c r="C98" s="1606">
        <f t="shared" si="11"/>
        <v>600</v>
      </c>
      <c r="D98" s="1609">
        <f t="shared" si="11"/>
        <v>42.195</v>
      </c>
      <c r="E98" s="1097">
        <f t="shared" si="13"/>
        <v>792.19500000000005</v>
      </c>
      <c r="F98" s="896">
        <f t="shared" si="14"/>
        <v>7.513075161290323</v>
      </c>
      <c r="G98" s="896">
        <f t="shared" si="14"/>
        <v>206.67089816129032</v>
      </c>
      <c r="H98" s="896">
        <f t="shared" si="14"/>
        <v>39.908739725806448</v>
      </c>
      <c r="I98" s="896">
        <f t="shared" si="14"/>
        <v>12.930666774193551</v>
      </c>
      <c r="J98" s="896">
        <f t="shared" si="14"/>
        <v>0</v>
      </c>
      <c r="K98" s="896">
        <f t="shared" si="14"/>
        <v>0</v>
      </c>
      <c r="L98" s="896">
        <f t="shared" si="14"/>
        <v>0</v>
      </c>
      <c r="M98" s="896">
        <f t="shared" si="14"/>
        <v>0</v>
      </c>
      <c r="N98" s="896">
        <f t="shared" si="14"/>
        <v>525.17162017741941</v>
      </c>
      <c r="O98" s="896">
        <f t="shared" si="14"/>
        <v>0</v>
      </c>
      <c r="P98" s="896">
        <f t="shared" si="14"/>
        <v>0</v>
      </c>
      <c r="Q98" s="896">
        <f t="shared" si="14"/>
        <v>0</v>
      </c>
      <c r="R98" s="896">
        <f t="shared" si="14"/>
        <v>0</v>
      </c>
      <c r="S98" s="896">
        <f t="shared" si="14"/>
        <v>0</v>
      </c>
      <c r="T98" s="897">
        <f t="shared" si="14"/>
        <v>0</v>
      </c>
      <c r="U98" s="15"/>
      <c r="V98" s="307"/>
      <c r="W98" s="307"/>
      <c r="X98" s="100"/>
    </row>
    <row r="99" spans="1:24" ht="15.75" x14ac:dyDescent="0.25">
      <c r="A99" s="107">
        <v>2018</v>
      </c>
      <c r="B99" s="1606">
        <f t="shared" si="11"/>
        <v>100</v>
      </c>
      <c r="C99" s="1606">
        <f t="shared" si="11"/>
        <v>600</v>
      </c>
      <c r="D99" s="1609">
        <f t="shared" si="11"/>
        <v>0</v>
      </c>
      <c r="E99" s="1097">
        <f t="shared" si="13"/>
        <v>700</v>
      </c>
      <c r="F99" s="896">
        <f t="shared" si="14"/>
        <v>6.6387096774193548</v>
      </c>
      <c r="G99" s="896">
        <f t="shared" si="14"/>
        <v>182.61870967741936</v>
      </c>
      <c r="H99" s="896">
        <f t="shared" si="14"/>
        <v>35.264193548387091</v>
      </c>
      <c r="I99" s="896">
        <f t="shared" si="14"/>
        <v>11.425806451612903</v>
      </c>
      <c r="J99" s="896">
        <f t="shared" si="14"/>
        <v>0</v>
      </c>
      <c r="K99" s="896">
        <f t="shared" si="14"/>
        <v>0</v>
      </c>
      <c r="L99" s="896">
        <f t="shared" si="14"/>
        <v>0</v>
      </c>
      <c r="M99" s="896">
        <f t="shared" si="14"/>
        <v>0</v>
      </c>
      <c r="N99" s="896">
        <f t="shared" si="14"/>
        <v>464.05258064516136</v>
      </c>
      <c r="O99" s="896">
        <f t="shared" si="14"/>
        <v>0</v>
      </c>
      <c r="P99" s="896">
        <f t="shared" si="14"/>
        <v>0</v>
      </c>
      <c r="Q99" s="896">
        <f t="shared" si="14"/>
        <v>0</v>
      </c>
      <c r="R99" s="896">
        <f t="shared" si="14"/>
        <v>0</v>
      </c>
      <c r="S99" s="896">
        <f t="shared" si="14"/>
        <v>0</v>
      </c>
      <c r="T99" s="897">
        <f t="shared" si="14"/>
        <v>0</v>
      </c>
      <c r="U99" s="15"/>
      <c r="V99" s="307"/>
      <c r="W99" s="307"/>
      <c r="X99" s="100"/>
    </row>
    <row r="100" spans="1:24" ht="15.75" x14ac:dyDescent="0.25">
      <c r="A100" s="107">
        <v>2019</v>
      </c>
      <c r="B100" s="1606">
        <f t="shared" si="11"/>
        <v>100</v>
      </c>
      <c r="C100" s="1606">
        <f t="shared" si="11"/>
        <v>600</v>
      </c>
      <c r="D100" s="1609">
        <f t="shared" si="11"/>
        <v>0</v>
      </c>
      <c r="E100" s="1097">
        <f t="shared" si="13"/>
        <v>700</v>
      </c>
      <c r="F100" s="896">
        <f t="shared" si="14"/>
        <v>6.6387096774193548</v>
      </c>
      <c r="G100" s="896">
        <f t="shared" si="14"/>
        <v>182.61870967741936</v>
      </c>
      <c r="H100" s="896">
        <f t="shared" si="14"/>
        <v>35.264193548387091</v>
      </c>
      <c r="I100" s="896">
        <f t="shared" si="14"/>
        <v>11.425806451612903</v>
      </c>
      <c r="J100" s="896">
        <f t="shared" si="14"/>
        <v>0</v>
      </c>
      <c r="K100" s="896">
        <f t="shared" si="14"/>
        <v>0</v>
      </c>
      <c r="L100" s="896">
        <f t="shared" si="14"/>
        <v>0</v>
      </c>
      <c r="M100" s="896">
        <f t="shared" si="14"/>
        <v>0</v>
      </c>
      <c r="N100" s="896">
        <f t="shared" si="14"/>
        <v>464.05258064516136</v>
      </c>
      <c r="O100" s="896">
        <f t="shared" si="14"/>
        <v>0</v>
      </c>
      <c r="P100" s="896">
        <f t="shared" si="14"/>
        <v>0</v>
      </c>
      <c r="Q100" s="896">
        <f t="shared" si="14"/>
        <v>0</v>
      </c>
      <c r="R100" s="896">
        <f t="shared" si="14"/>
        <v>0</v>
      </c>
      <c r="S100" s="896">
        <f t="shared" si="14"/>
        <v>0</v>
      </c>
      <c r="T100" s="897">
        <f t="shared" si="14"/>
        <v>0</v>
      </c>
      <c r="U100" s="15"/>
      <c r="V100" s="307"/>
      <c r="W100" s="307"/>
      <c r="X100" s="100"/>
    </row>
    <row r="101" spans="1:24" ht="15.75" x14ac:dyDescent="0.25">
      <c r="A101" s="107">
        <v>2020</v>
      </c>
      <c r="B101" s="1606">
        <f t="shared" si="11"/>
        <v>60</v>
      </c>
      <c r="C101" s="1606">
        <f t="shared" si="11"/>
        <v>600</v>
      </c>
      <c r="D101" s="1609">
        <f t="shared" si="11"/>
        <v>0</v>
      </c>
      <c r="E101" s="1097">
        <f t="shared" si="13"/>
        <v>660</v>
      </c>
      <c r="F101" s="896">
        <f t="shared" si="14"/>
        <v>6.2593548387096778</v>
      </c>
      <c r="G101" s="896">
        <f t="shared" si="14"/>
        <v>172.18335483870968</v>
      </c>
      <c r="H101" s="896">
        <f t="shared" si="14"/>
        <v>33.249096774193546</v>
      </c>
      <c r="I101" s="896">
        <f t="shared" si="14"/>
        <v>10.772903225806452</v>
      </c>
      <c r="J101" s="896">
        <f t="shared" si="14"/>
        <v>0</v>
      </c>
      <c r="K101" s="896">
        <f t="shared" si="14"/>
        <v>0</v>
      </c>
      <c r="L101" s="896">
        <f t="shared" si="14"/>
        <v>0</v>
      </c>
      <c r="M101" s="896">
        <f t="shared" si="14"/>
        <v>0</v>
      </c>
      <c r="N101" s="896">
        <f t="shared" si="14"/>
        <v>437.53529032258069</v>
      </c>
      <c r="O101" s="896">
        <f t="shared" si="14"/>
        <v>0</v>
      </c>
      <c r="P101" s="896">
        <f t="shared" si="14"/>
        <v>0</v>
      </c>
      <c r="Q101" s="896">
        <f t="shared" si="14"/>
        <v>0</v>
      </c>
      <c r="R101" s="896">
        <f t="shared" si="14"/>
        <v>0</v>
      </c>
      <c r="S101" s="896">
        <f t="shared" si="14"/>
        <v>0</v>
      </c>
      <c r="T101" s="897">
        <f t="shared" si="14"/>
        <v>0</v>
      </c>
      <c r="U101" s="15"/>
      <c r="V101" s="307"/>
      <c r="W101" s="307"/>
      <c r="X101" s="100"/>
    </row>
    <row r="102" spans="1:24" ht="15.75" x14ac:dyDescent="0.25">
      <c r="A102" s="107">
        <v>2021</v>
      </c>
      <c r="B102" s="1606">
        <f t="shared" si="11"/>
        <v>0</v>
      </c>
      <c r="C102" s="1606">
        <f t="shared" si="11"/>
        <v>500</v>
      </c>
      <c r="D102" s="1609">
        <f t="shared" si="11"/>
        <v>0</v>
      </c>
      <c r="E102" s="1097">
        <f t="shared" si="13"/>
        <v>500</v>
      </c>
      <c r="F102" s="896">
        <f t="shared" si="14"/>
        <v>4.741935483870968</v>
      </c>
      <c r="G102" s="896">
        <f t="shared" si="14"/>
        <v>130.44193548387096</v>
      </c>
      <c r="H102" s="896">
        <f t="shared" si="14"/>
        <v>25.18870967741935</v>
      </c>
      <c r="I102" s="896">
        <f t="shared" si="14"/>
        <v>8.1612903225806459</v>
      </c>
      <c r="J102" s="896">
        <f t="shared" si="14"/>
        <v>0</v>
      </c>
      <c r="K102" s="896">
        <f t="shared" si="14"/>
        <v>0</v>
      </c>
      <c r="L102" s="896">
        <f t="shared" si="14"/>
        <v>0</v>
      </c>
      <c r="M102" s="896">
        <f t="shared" si="14"/>
        <v>0</v>
      </c>
      <c r="N102" s="896">
        <f t="shared" si="14"/>
        <v>331.46612903225804</v>
      </c>
      <c r="O102" s="896">
        <f t="shared" si="14"/>
        <v>0</v>
      </c>
      <c r="P102" s="896">
        <f t="shared" si="14"/>
        <v>0</v>
      </c>
      <c r="Q102" s="896">
        <f t="shared" si="14"/>
        <v>0</v>
      </c>
      <c r="R102" s="896">
        <f t="shared" si="14"/>
        <v>0</v>
      </c>
      <c r="S102" s="896">
        <f t="shared" si="14"/>
        <v>0</v>
      </c>
      <c r="T102" s="897">
        <f t="shared" si="14"/>
        <v>0</v>
      </c>
      <c r="U102" s="15"/>
      <c r="V102" s="307"/>
      <c r="W102" s="307"/>
      <c r="X102" s="100"/>
    </row>
    <row r="103" spans="1:24" ht="15.75" x14ac:dyDescent="0.25">
      <c r="A103" s="107">
        <v>2022</v>
      </c>
      <c r="B103" s="1606">
        <f t="shared" si="11"/>
        <v>0</v>
      </c>
      <c r="C103" s="1606">
        <f t="shared" si="11"/>
        <v>500</v>
      </c>
      <c r="D103" s="1609">
        <f t="shared" si="11"/>
        <v>0</v>
      </c>
      <c r="E103" s="1097">
        <f t="shared" si="13"/>
        <v>500</v>
      </c>
      <c r="F103" s="896">
        <f t="shared" si="14"/>
        <v>4.741935483870968</v>
      </c>
      <c r="G103" s="896">
        <f t="shared" si="14"/>
        <v>130.44193548387096</v>
      </c>
      <c r="H103" s="896">
        <f t="shared" si="14"/>
        <v>25.18870967741935</v>
      </c>
      <c r="I103" s="896">
        <f t="shared" si="14"/>
        <v>8.1612903225806459</v>
      </c>
      <c r="J103" s="896">
        <f t="shared" si="14"/>
        <v>0</v>
      </c>
      <c r="K103" s="896">
        <f t="shared" si="14"/>
        <v>0</v>
      </c>
      <c r="L103" s="896">
        <f t="shared" si="14"/>
        <v>0</v>
      </c>
      <c r="M103" s="896">
        <f t="shared" si="14"/>
        <v>0</v>
      </c>
      <c r="N103" s="896">
        <f t="shared" si="14"/>
        <v>331.46612903225804</v>
      </c>
      <c r="O103" s="896">
        <f t="shared" si="14"/>
        <v>0</v>
      </c>
      <c r="P103" s="896">
        <f t="shared" si="14"/>
        <v>0</v>
      </c>
      <c r="Q103" s="896">
        <f t="shared" si="14"/>
        <v>0</v>
      </c>
      <c r="R103" s="896">
        <f t="shared" si="14"/>
        <v>0</v>
      </c>
      <c r="S103" s="896">
        <f t="shared" si="14"/>
        <v>0</v>
      </c>
      <c r="T103" s="897">
        <f t="shared" si="14"/>
        <v>0</v>
      </c>
      <c r="U103" s="15"/>
      <c r="V103" s="307"/>
      <c r="W103" s="307"/>
      <c r="X103" s="100"/>
    </row>
    <row r="104" spans="1:24" ht="15.75" x14ac:dyDescent="0.25">
      <c r="A104" s="107">
        <v>2023</v>
      </c>
      <c r="B104" s="1606">
        <f t="shared" si="11"/>
        <v>0</v>
      </c>
      <c r="C104" s="1606">
        <f t="shared" si="11"/>
        <v>475</v>
      </c>
      <c r="D104" s="1609">
        <f t="shared" si="11"/>
        <v>0</v>
      </c>
      <c r="E104" s="1097">
        <f t="shared" si="13"/>
        <v>475</v>
      </c>
      <c r="F104" s="896">
        <f t="shared" ref="F104:T116" si="15">$E104*F$83/$U$83</f>
        <v>4.5048387096774194</v>
      </c>
      <c r="G104" s="896">
        <f t="shared" si="15"/>
        <v>123.91983870967742</v>
      </c>
      <c r="H104" s="896">
        <f t="shared" si="15"/>
        <v>23.929274193548384</v>
      </c>
      <c r="I104" s="896">
        <f t="shared" si="15"/>
        <v>7.7532258064516126</v>
      </c>
      <c r="J104" s="896">
        <f t="shared" si="15"/>
        <v>0</v>
      </c>
      <c r="K104" s="896">
        <f t="shared" si="15"/>
        <v>0</v>
      </c>
      <c r="L104" s="896">
        <f t="shared" si="15"/>
        <v>0</v>
      </c>
      <c r="M104" s="896">
        <f t="shared" si="15"/>
        <v>0</v>
      </c>
      <c r="N104" s="896">
        <f t="shared" si="15"/>
        <v>314.89282258064515</v>
      </c>
      <c r="O104" s="896">
        <f t="shared" si="15"/>
        <v>0</v>
      </c>
      <c r="P104" s="896">
        <f t="shared" si="15"/>
        <v>0</v>
      </c>
      <c r="Q104" s="896">
        <f t="shared" si="15"/>
        <v>0</v>
      </c>
      <c r="R104" s="896">
        <f t="shared" si="15"/>
        <v>0</v>
      </c>
      <c r="S104" s="896">
        <f t="shared" si="15"/>
        <v>0</v>
      </c>
      <c r="T104" s="897">
        <f t="shared" si="15"/>
        <v>0</v>
      </c>
      <c r="U104" s="15"/>
      <c r="V104" s="307"/>
      <c r="W104" s="307"/>
      <c r="X104" s="100"/>
    </row>
    <row r="105" spans="1:24" ht="15.75" x14ac:dyDescent="0.25">
      <c r="A105" s="107">
        <v>2024</v>
      </c>
      <c r="B105" s="1606">
        <f t="shared" si="11"/>
        <v>0</v>
      </c>
      <c r="C105" s="1606">
        <f t="shared" si="11"/>
        <v>450</v>
      </c>
      <c r="D105" s="1609">
        <f t="shared" si="11"/>
        <v>0</v>
      </c>
      <c r="E105" s="1097">
        <f t="shared" si="13"/>
        <v>450</v>
      </c>
      <c r="F105" s="896">
        <f t="shared" si="15"/>
        <v>4.2677419354838708</v>
      </c>
      <c r="G105" s="896">
        <f t="shared" si="15"/>
        <v>117.39774193548386</v>
      </c>
      <c r="H105" s="896">
        <f t="shared" si="15"/>
        <v>22.669838709677414</v>
      </c>
      <c r="I105" s="896">
        <f t="shared" si="15"/>
        <v>7.3451612903225802</v>
      </c>
      <c r="J105" s="896">
        <f t="shared" si="15"/>
        <v>0</v>
      </c>
      <c r="K105" s="896">
        <f t="shared" si="15"/>
        <v>0</v>
      </c>
      <c r="L105" s="896">
        <f t="shared" si="15"/>
        <v>0</v>
      </c>
      <c r="M105" s="896">
        <f t="shared" si="15"/>
        <v>0</v>
      </c>
      <c r="N105" s="896">
        <f t="shared" si="15"/>
        <v>298.31951612903225</v>
      </c>
      <c r="O105" s="896">
        <f t="shared" si="15"/>
        <v>0</v>
      </c>
      <c r="P105" s="896">
        <f t="shared" si="15"/>
        <v>0</v>
      </c>
      <c r="Q105" s="896">
        <f t="shared" si="15"/>
        <v>0</v>
      </c>
      <c r="R105" s="896">
        <f t="shared" si="15"/>
        <v>0</v>
      </c>
      <c r="S105" s="896">
        <f t="shared" si="15"/>
        <v>0</v>
      </c>
      <c r="T105" s="897">
        <f t="shared" si="15"/>
        <v>0</v>
      </c>
      <c r="U105" s="15"/>
      <c r="V105" s="307"/>
      <c r="W105" s="307"/>
      <c r="X105" s="100"/>
    </row>
    <row r="106" spans="1:24" ht="15.75" x14ac:dyDescent="0.25">
      <c r="A106" s="107">
        <v>2025</v>
      </c>
      <c r="B106" s="1606">
        <f t="shared" si="11"/>
        <v>0</v>
      </c>
      <c r="C106" s="1606">
        <f t="shared" si="11"/>
        <v>425</v>
      </c>
      <c r="D106" s="1609">
        <f t="shared" si="11"/>
        <v>0</v>
      </c>
      <c r="E106" s="1097">
        <f t="shared" si="13"/>
        <v>425</v>
      </c>
      <c r="F106" s="896">
        <f t="shared" si="15"/>
        <v>4.0306451612903222</v>
      </c>
      <c r="G106" s="896">
        <f t="shared" si="15"/>
        <v>110.87564516129032</v>
      </c>
      <c r="H106" s="896">
        <f t="shared" si="15"/>
        <v>21.410403225806448</v>
      </c>
      <c r="I106" s="896">
        <f t="shared" si="15"/>
        <v>6.9370967741935488</v>
      </c>
      <c r="J106" s="896">
        <f t="shared" si="15"/>
        <v>0</v>
      </c>
      <c r="K106" s="896">
        <f t="shared" si="15"/>
        <v>0</v>
      </c>
      <c r="L106" s="896">
        <f t="shared" si="15"/>
        <v>0</v>
      </c>
      <c r="M106" s="896">
        <f t="shared" si="15"/>
        <v>0</v>
      </c>
      <c r="N106" s="896">
        <f t="shared" si="15"/>
        <v>281.74620967741936</v>
      </c>
      <c r="O106" s="896">
        <f t="shared" si="15"/>
        <v>0</v>
      </c>
      <c r="P106" s="896">
        <f t="shared" si="15"/>
        <v>0</v>
      </c>
      <c r="Q106" s="896">
        <f t="shared" si="15"/>
        <v>0</v>
      </c>
      <c r="R106" s="896">
        <f t="shared" si="15"/>
        <v>0</v>
      </c>
      <c r="S106" s="896">
        <f t="shared" si="15"/>
        <v>0</v>
      </c>
      <c r="T106" s="897">
        <f t="shared" si="15"/>
        <v>0</v>
      </c>
      <c r="U106" s="15"/>
      <c r="V106" s="307"/>
      <c r="W106" s="307"/>
      <c r="X106" s="100"/>
    </row>
    <row r="107" spans="1:24" ht="15.75" x14ac:dyDescent="0.25">
      <c r="A107" s="107">
        <v>2026</v>
      </c>
      <c r="B107" s="1606">
        <f t="shared" si="11"/>
        <v>0</v>
      </c>
      <c r="C107" s="1606">
        <f t="shared" si="11"/>
        <v>400</v>
      </c>
      <c r="D107" s="1609">
        <f t="shared" si="11"/>
        <v>0</v>
      </c>
      <c r="E107" s="1097">
        <f t="shared" si="13"/>
        <v>400</v>
      </c>
      <c r="F107" s="896">
        <f t="shared" si="15"/>
        <v>3.7935483870967741</v>
      </c>
      <c r="G107" s="896">
        <f t="shared" si="15"/>
        <v>104.35354838709678</v>
      </c>
      <c r="H107" s="896">
        <f t="shared" si="15"/>
        <v>20.150967741935482</v>
      </c>
      <c r="I107" s="896">
        <f t="shared" si="15"/>
        <v>6.5290322580645164</v>
      </c>
      <c r="J107" s="896">
        <f t="shared" si="15"/>
        <v>0</v>
      </c>
      <c r="K107" s="896">
        <f t="shared" si="15"/>
        <v>0</v>
      </c>
      <c r="L107" s="896">
        <f t="shared" si="15"/>
        <v>0</v>
      </c>
      <c r="M107" s="896">
        <f t="shared" si="15"/>
        <v>0</v>
      </c>
      <c r="N107" s="896">
        <f t="shared" si="15"/>
        <v>265.17290322580646</v>
      </c>
      <c r="O107" s="896">
        <f t="shared" si="15"/>
        <v>0</v>
      </c>
      <c r="P107" s="896">
        <f t="shared" si="15"/>
        <v>0</v>
      </c>
      <c r="Q107" s="896">
        <f t="shared" si="15"/>
        <v>0</v>
      </c>
      <c r="R107" s="896">
        <f t="shared" si="15"/>
        <v>0</v>
      </c>
      <c r="S107" s="896">
        <f t="shared" si="15"/>
        <v>0</v>
      </c>
      <c r="T107" s="897">
        <f t="shared" si="15"/>
        <v>0</v>
      </c>
      <c r="U107" s="15"/>
      <c r="V107" s="307"/>
      <c r="W107" s="307"/>
      <c r="X107" s="100"/>
    </row>
    <row r="108" spans="1:24" ht="15.75" x14ac:dyDescent="0.25">
      <c r="A108" s="107">
        <v>2027</v>
      </c>
      <c r="B108" s="1606">
        <f t="shared" si="11"/>
        <v>0</v>
      </c>
      <c r="C108" s="1606">
        <f t="shared" si="11"/>
        <v>375</v>
      </c>
      <c r="D108" s="1609">
        <f t="shared" si="11"/>
        <v>0</v>
      </c>
      <c r="E108" s="1097">
        <f t="shared" si="13"/>
        <v>375</v>
      </c>
      <c r="F108" s="896">
        <f t="shared" si="15"/>
        <v>3.556451612903226</v>
      </c>
      <c r="G108" s="896">
        <f t="shared" si="15"/>
        <v>97.831451612903223</v>
      </c>
      <c r="H108" s="896">
        <f t="shared" si="15"/>
        <v>18.891532258064512</v>
      </c>
      <c r="I108" s="896">
        <f t="shared" si="15"/>
        <v>6.120967741935484</v>
      </c>
      <c r="J108" s="896">
        <f t="shared" si="15"/>
        <v>0</v>
      </c>
      <c r="K108" s="896">
        <f t="shared" si="15"/>
        <v>0</v>
      </c>
      <c r="L108" s="896">
        <f t="shared" si="15"/>
        <v>0</v>
      </c>
      <c r="M108" s="896">
        <f t="shared" si="15"/>
        <v>0</v>
      </c>
      <c r="N108" s="896">
        <f t="shared" si="15"/>
        <v>248.59959677419357</v>
      </c>
      <c r="O108" s="896">
        <f t="shared" si="15"/>
        <v>0</v>
      </c>
      <c r="P108" s="896">
        <f t="shared" si="15"/>
        <v>0</v>
      </c>
      <c r="Q108" s="896">
        <f t="shared" si="15"/>
        <v>0</v>
      </c>
      <c r="R108" s="896">
        <f t="shared" si="15"/>
        <v>0</v>
      </c>
      <c r="S108" s="896">
        <f t="shared" si="15"/>
        <v>0</v>
      </c>
      <c r="T108" s="897">
        <f t="shared" si="15"/>
        <v>0</v>
      </c>
      <c r="U108" s="15"/>
      <c r="V108" s="307"/>
      <c r="W108" s="307"/>
      <c r="X108" s="100"/>
    </row>
    <row r="109" spans="1:24" ht="15.75" x14ac:dyDescent="0.25">
      <c r="A109" s="107">
        <v>2028</v>
      </c>
      <c r="B109" s="1606">
        <f t="shared" si="11"/>
        <v>0</v>
      </c>
      <c r="C109" s="1606">
        <f t="shared" si="11"/>
        <v>350</v>
      </c>
      <c r="D109" s="1609">
        <f t="shared" si="11"/>
        <v>0</v>
      </c>
      <c r="E109" s="1097">
        <f t="shared" si="13"/>
        <v>350</v>
      </c>
      <c r="F109" s="896">
        <f t="shared" si="15"/>
        <v>3.3193548387096774</v>
      </c>
      <c r="G109" s="896">
        <f t="shared" si="15"/>
        <v>91.30935483870968</v>
      </c>
      <c r="H109" s="896">
        <f t="shared" si="15"/>
        <v>17.632096774193545</v>
      </c>
      <c r="I109" s="896">
        <f t="shared" si="15"/>
        <v>5.7129032258064516</v>
      </c>
      <c r="J109" s="896">
        <f t="shared" si="15"/>
        <v>0</v>
      </c>
      <c r="K109" s="896">
        <f t="shared" si="15"/>
        <v>0</v>
      </c>
      <c r="L109" s="896">
        <f t="shared" si="15"/>
        <v>0</v>
      </c>
      <c r="M109" s="896">
        <f t="shared" si="15"/>
        <v>0</v>
      </c>
      <c r="N109" s="896">
        <f t="shared" si="15"/>
        <v>232.02629032258068</v>
      </c>
      <c r="O109" s="896">
        <f t="shared" si="15"/>
        <v>0</v>
      </c>
      <c r="P109" s="896">
        <f t="shared" si="15"/>
        <v>0</v>
      </c>
      <c r="Q109" s="896">
        <f t="shared" si="15"/>
        <v>0</v>
      </c>
      <c r="R109" s="896">
        <f t="shared" si="15"/>
        <v>0</v>
      </c>
      <c r="S109" s="896">
        <f t="shared" si="15"/>
        <v>0</v>
      </c>
      <c r="T109" s="897">
        <f t="shared" si="15"/>
        <v>0</v>
      </c>
      <c r="U109" s="15"/>
      <c r="V109" s="307"/>
      <c r="W109" s="307"/>
      <c r="X109" s="100"/>
    </row>
    <row r="110" spans="1:24" ht="15.75" x14ac:dyDescent="0.25">
      <c r="A110" s="107">
        <v>2029</v>
      </c>
      <c r="B110" s="1606">
        <f t="shared" si="11"/>
        <v>0</v>
      </c>
      <c r="C110" s="1606">
        <f t="shared" si="11"/>
        <v>300</v>
      </c>
      <c r="D110" s="1609">
        <f t="shared" si="11"/>
        <v>0</v>
      </c>
      <c r="E110" s="1097">
        <f t="shared" si="13"/>
        <v>300</v>
      </c>
      <c r="F110" s="896">
        <f t="shared" si="15"/>
        <v>2.8451612903225807</v>
      </c>
      <c r="G110" s="896">
        <f t="shared" si="15"/>
        <v>78.265161290322581</v>
      </c>
      <c r="H110" s="896">
        <f t="shared" si="15"/>
        <v>15.113225806451611</v>
      </c>
      <c r="I110" s="896">
        <f t="shared" si="15"/>
        <v>4.8967741935483868</v>
      </c>
      <c r="J110" s="896">
        <f t="shared" si="15"/>
        <v>0</v>
      </c>
      <c r="K110" s="896">
        <f t="shared" si="15"/>
        <v>0</v>
      </c>
      <c r="L110" s="896">
        <f t="shared" si="15"/>
        <v>0</v>
      </c>
      <c r="M110" s="896">
        <f t="shared" si="15"/>
        <v>0</v>
      </c>
      <c r="N110" s="896">
        <f t="shared" si="15"/>
        <v>198.87967741935483</v>
      </c>
      <c r="O110" s="896">
        <f t="shared" si="15"/>
        <v>0</v>
      </c>
      <c r="P110" s="896">
        <f t="shared" si="15"/>
        <v>0</v>
      </c>
      <c r="Q110" s="896">
        <f t="shared" si="15"/>
        <v>0</v>
      </c>
      <c r="R110" s="896">
        <f t="shared" si="15"/>
        <v>0</v>
      </c>
      <c r="S110" s="896">
        <f t="shared" si="15"/>
        <v>0</v>
      </c>
      <c r="T110" s="897">
        <f t="shared" si="15"/>
        <v>0</v>
      </c>
      <c r="U110" s="15"/>
      <c r="V110" s="307"/>
      <c r="W110" s="307"/>
      <c r="X110" s="100"/>
    </row>
    <row r="111" spans="1:24" ht="15.75" x14ac:dyDescent="0.25">
      <c r="A111" s="107">
        <v>2030</v>
      </c>
      <c r="B111" s="1606">
        <f t="shared" si="11"/>
        <v>0</v>
      </c>
      <c r="C111" s="1606">
        <f t="shared" si="11"/>
        <v>200</v>
      </c>
      <c r="D111" s="1606">
        <f t="shared" si="11"/>
        <v>0</v>
      </c>
      <c r="E111" s="930">
        <f t="shared" si="13"/>
        <v>200</v>
      </c>
      <c r="F111" s="896">
        <f t="shared" si="15"/>
        <v>1.8967741935483871</v>
      </c>
      <c r="G111" s="896">
        <f t="shared" si="15"/>
        <v>52.17677419354839</v>
      </c>
      <c r="H111" s="896">
        <f t="shared" si="15"/>
        <v>10.075483870967741</v>
      </c>
      <c r="I111" s="896">
        <f t="shared" si="15"/>
        <v>3.2645161290322582</v>
      </c>
      <c r="J111" s="896">
        <f t="shared" si="15"/>
        <v>0</v>
      </c>
      <c r="K111" s="896">
        <f t="shared" si="15"/>
        <v>0</v>
      </c>
      <c r="L111" s="896">
        <f t="shared" si="15"/>
        <v>0</v>
      </c>
      <c r="M111" s="896">
        <f t="shared" si="15"/>
        <v>0</v>
      </c>
      <c r="N111" s="896">
        <f t="shared" si="15"/>
        <v>132.58645161290323</v>
      </c>
      <c r="O111" s="896">
        <f t="shared" si="15"/>
        <v>0</v>
      </c>
      <c r="P111" s="896">
        <f t="shared" si="15"/>
        <v>0</v>
      </c>
      <c r="Q111" s="896">
        <f t="shared" si="15"/>
        <v>0</v>
      </c>
      <c r="R111" s="896">
        <f t="shared" si="15"/>
        <v>0</v>
      </c>
      <c r="S111" s="896">
        <f t="shared" si="15"/>
        <v>0</v>
      </c>
      <c r="T111" s="897">
        <f t="shared" si="15"/>
        <v>0</v>
      </c>
      <c r="U111" s="15"/>
      <c r="V111" s="307"/>
      <c r="W111" s="307"/>
      <c r="X111" s="100"/>
    </row>
    <row r="112" spans="1:24" ht="15.75" x14ac:dyDescent="0.25">
      <c r="A112" s="107">
        <v>2031</v>
      </c>
      <c r="B112" s="1606">
        <f t="shared" si="11"/>
        <v>0</v>
      </c>
      <c r="C112" s="1606">
        <f t="shared" si="11"/>
        <v>94</v>
      </c>
      <c r="D112" s="1606">
        <f t="shared" si="11"/>
        <v>0</v>
      </c>
      <c r="E112" s="930">
        <f t="shared" si="13"/>
        <v>94</v>
      </c>
      <c r="F112" s="896">
        <f t="shared" si="15"/>
        <v>0.89148387096774195</v>
      </c>
      <c r="G112" s="896">
        <f t="shared" si="15"/>
        <v>24.523083870967742</v>
      </c>
      <c r="H112" s="896">
        <f t="shared" si="15"/>
        <v>4.7354774193548383</v>
      </c>
      <c r="I112" s="896">
        <f t="shared" si="15"/>
        <v>1.5343225806451612</v>
      </c>
      <c r="J112" s="896">
        <f t="shared" si="15"/>
        <v>0</v>
      </c>
      <c r="K112" s="896">
        <f t="shared" si="15"/>
        <v>0</v>
      </c>
      <c r="L112" s="896">
        <f t="shared" si="15"/>
        <v>0</v>
      </c>
      <c r="M112" s="896">
        <f t="shared" si="15"/>
        <v>0</v>
      </c>
      <c r="N112" s="896">
        <f t="shared" si="15"/>
        <v>62.315632258064518</v>
      </c>
      <c r="O112" s="896">
        <f t="shared" si="15"/>
        <v>0</v>
      </c>
      <c r="P112" s="896">
        <f t="shared" si="15"/>
        <v>0</v>
      </c>
      <c r="Q112" s="896">
        <f t="shared" si="15"/>
        <v>0</v>
      </c>
      <c r="R112" s="896">
        <f t="shared" si="15"/>
        <v>0</v>
      </c>
      <c r="S112" s="896">
        <f t="shared" si="15"/>
        <v>0</v>
      </c>
      <c r="T112" s="897">
        <f t="shared" si="15"/>
        <v>0</v>
      </c>
      <c r="U112" s="15"/>
      <c r="V112" s="307"/>
      <c r="W112" s="307"/>
      <c r="X112" s="100"/>
    </row>
    <row r="113" spans="1:46" ht="15.75" x14ac:dyDescent="0.25">
      <c r="A113" s="107">
        <v>2032</v>
      </c>
      <c r="B113" s="1606">
        <f t="shared" si="11"/>
        <v>0</v>
      </c>
      <c r="C113" s="1606">
        <f t="shared" si="11"/>
        <v>0</v>
      </c>
      <c r="D113" s="1606">
        <f t="shared" si="11"/>
        <v>0</v>
      </c>
      <c r="E113" s="930">
        <f t="shared" si="13"/>
        <v>0</v>
      </c>
      <c r="F113" s="896">
        <f t="shared" si="15"/>
        <v>0</v>
      </c>
      <c r="G113" s="896">
        <f t="shared" si="15"/>
        <v>0</v>
      </c>
      <c r="H113" s="896">
        <f t="shared" si="15"/>
        <v>0</v>
      </c>
      <c r="I113" s="896">
        <f t="shared" si="15"/>
        <v>0</v>
      </c>
      <c r="J113" s="896">
        <f t="shared" si="15"/>
        <v>0</v>
      </c>
      <c r="K113" s="896">
        <f t="shared" si="15"/>
        <v>0</v>
      </c>
      <c r="L113" s="896">
        <f t="shared" si="15"/>
        <v>0</v>
      </c>
      <c r="M113" s="896">
        <f t="shared" si="15"/>
        <v>0</v>
      </c>
      <c r="N113" s="896">
        <f t="shared" si="15"/>
        <v>0</v>
      </c>
      <c r="O113" s="896">
        <f t="shared" si="15"/>
        <v>0</v>
      </c>
      <c r="P113" s="896">
        <f t="shared" si="15"/>
        <v>0</v>
      </c>
      <c r="Q113" s="896">
        <f t="shared" si="15"/>
        <v>0</v>
      </c>
      <c r="R113" s="896">
        <f t="shared" si="15"/>
        <v>0</v>
      </c>
      <c r="S113" s="896">
        <f t="shared" si="15"/>
        <v>0</v>
      </c>
      <c r="T113" s="897">
        <f t="shared" si="15"/>
        <v>0</v>
      </c>
      <c r="U113" s="15"/>
      <c r="V113" s="307"/>
      <c r="W113" s="307"/>
      <c r="X113" s="100"/>
    </row>
    <row r="114" spans="1:46" ht="15.75" x14ac:dyDescent="0.25">
      <c r="A114" s="107">
        <v>2033</v>
      </c>
      <c r="B114" s="1606">
        <f t="shared" si="11"/>
        <v>0</v>
      </c>
      <c r="C114" s="1606">
        <f t="shared" si="11"/>
        <v>0</v>
      </c>
      <c r="D114" s="1606">
        <f t="shared" si="11"/>
        <v>0</v>
      </c>
      <c r="E114" s="930">
        <f t="shared" si="13"/>
        <v>0</v>
      </c>
      <c r="F114" s="896">
        <f t="shared" si="15"/>
        <v>0</v>
      </c>
      <c r="G114" s="896">
        <f t="shared" si="15"/>
        <v>0</v>
      </c>
      <c r="H114" s="896">
        <f t="shared" si="15"/>
        <v>0</v>
      </c>
      <c r="I114" s="896">
        <f t="shared" si="15"/>
        <v>0</v>
      </c>
      <c r="J114" s="896">
        <f t="shared" si="15"/>
        <v>0</v>
      </c>
      <c r="K114" s="896">
        <f t="shared" si="15"/>
        <v>0</v>
      </c>
      <c r="L114" s="896">
        <f t="shared" si="15"/>
        <v>0</v>
      </c>
      <c r="M114" s="896">
        <f t="shared" si="15"/>
        <v>0</v>
      </c>
      <c r="N114" s="896">
        <f t="shared" si="15"/>
        <v>0</v>
      </c>
      <c r="O114" s="896">
        <f t="shared" si="15"/>
        <v>0</v>
      </c>
      <c r="P114" s="896">
        <f t="shared" si="15"/>
        <v>0</v>
      </c>
      <c r="Q114" s="896">
        <f t="shared" si="15"/>
        <v>0</v>
      </c>
      <c r="R114" s="896">
        <f t="shared" si="15"/>
        <v>0</v>
      </c>
      <c r="S114" s="896">
        <f t="shared" si="15"/>
        <v>0</v>
      </c>
      <c r="T114" s="897">
        <f t="shared" si="15"/>
        <v>0</v>
      </c>
      <c r="U114" s="15"/>
      <c r="V114" s="307"/>
      <c r="W114" s="3"/>
      <c r="X114" s="3"/>
      <c r="Y114" s="3"/>
      <c r="Z114" s="3"/>
      <c r="AA114" s="3"/>
      <c r="AB114" s="3"/>
      <c r="AC114" s="3"/>
      <c r="AD114" s="3"/>
    </row>
    <row r="115" spans="1:46" ht="15.75" x14ac:dyDescent="0.25">
      <c r="A115" s="107">
        <v>2034</v>
      </c>
      <c r="B115" s="1612"/>
      <c r="C115" s="1606"/>
      <c r="D115" s="1606"/>
      <c r="E115" s="930">
        <f t="shared" si="13"/>
        <v>0</v>
      </c>
      <c r="F115" s="896">
        <f t="shared" si="15"/>
        <v>0</v>
      </c>
      <c r="G115" s="896">
        <f t="shared" si="15"/>
        <v>0</v>
      </c>
      <c r="H115" s="896">
        <f t="shared" si="15"/>
        <v>0</v>
      </c>
      <c r="I115" s="896">
        <f t="shared" si="15"/>
        <v>0</v>
      </c>
      <c r="J115" s="896">
        <f t="shared" si="15"/>
        <v>0</v>
      </c>
      <c r="K115" s="896">
        <f t="shared" si="15"/>
        <v>0</v>
      </c>
      <c r="L115" s="896">
        <f t="shared" si="15"/>
        <v>0</v>
      </c>
      <c r="M115" s="896">
        <f t="shared" si="15"/>
        <v>0</v>
      </c>
      <c r="N115" s="896">
        <f t="shared" si="15"/>
        <v>0</v>
      </c>
      <c r="O115" s="896">
        <f t="shared" si="15"/>
        <v>0</v>
      </c>
      <c r="P115" s="896">
        <f t="shared" si="15"/>
        <v>0</v>
      </c>
      <c r="Q115" s="896">
        <f t="shared" si="15"/>
        <v>0</v>
      </c>
      <c r="R115" s="896">
        <f t="shared" si="15"/>
        <v>0</v>
      </c>
      <c r="S115" s="896">
        <f t="shared" si="15"/>
        <v>0</v>
      </c>
      <c r="T115" s="897">
        <f t="shared" si="15"/>
        <v>0</v>
      </c>
      <c r="U115" s="15"/>
      <c r="V115" s="307"/>
      <c r="W115" s="746"/>
      <c r="AD115" s="3"/>
      <c r="AE115"/>
    </row>
    <row r="116" spans="1:46" ht="15.75" x14ac:dyDescent="0.25">
      <c r="A116" s="107">
        <v>2035</v>
      </c>
      <c r="B116" s="1612"/>
      <c r="C116" s="1606"/>
      <c r="D116" s="1606"/>
      <c r="E116" s="930">
        <f t="shared" si="13"/>
        <v>0</v>
      </c>
      <c r="F116" s="896">
        <f t="shared" si="15"/>
        <v>0</v>
      </c>
      <c r="G116" s="896">
        <f t="shared" si="15"/>
        <v>0</v>
      </c>
      <c r="H116" s="896">
        <f t="shared" si="15"/>
        <v>0</v>
      </c>
      <c r="I116" s="896">
        <f t="shared" si="15"/>
        <v>0</v>
      </c>
      <c r="J116" s="896">
        <f t="shared" si="15"/>
        <v>0</v>
      </c>
      <c r="K116" s="896">
        <f t="shared" si="15"/>
        <v>0</v>
      </c>
      <c r="L116" s="896">
        <f t="shared" si="15"/>
        <v>0</v>
      </c>
      <c r="M116" s="896">
        <f t="shared" si="15"/>
        <v>0</v>
      </c>
      <c r="N116" s="896">
        <f t="shared" si="15"/>
        <v>0</v>
      </c>
      <c r="O116" s="896">
        <f t="shared" si="15"/>
        <v>0</v>
      </c>
      <c r="P116" s="896">
        <f t="shared" si="15"/>
        <v>0</v>
      </c>
      <c r="Q116" s="896">
        <f t="shared" si="15"/>
        <v>0</v>
      </c>
      <c r="R116" s="896">
        <f t="shared" si="15"/>
        <v>0</v>
      </c>
      <c r="S116" s="896">
        <f t="shared" si="15"/>
        <v>0</v>
      </c>
      <c r="T116" s="897">
        <f t="shared" si="15"/>
        <v>0</v>
      </c>
      <c r="U116" s="15"/>
      <c r="V116" s="307"/>
      <c r="W116" s="747"/>
      <c r="X116" s="8"/>
      <c r="Y116" s="8"/>
      <c r="Z116" s="8"/>
      <c r="AA116" s="8"/>
      <c r="AB116" s="8"/>
      <c r="AC116" s="8"/>
      <c r="AD116" s="17"/>
      <c r="AE116" s="8"/>
      <c r="AF116" s="8"/>
      <c r="AG116" s="8"/>
    </row>
    <row r="117" spans="1:46" ht="15.75" x14ac:dyDescent="0.25">
      <c r="A117" s="107">
        <v>2036</v>
      </c>
      <c r="B117" s="1612"/>
      <c r="C117" s="1606"/>
      <c r="D117" s="1606"/>
      <c r="E117" s="930"/>
      <c r="F117" s="896"/>
      <c r="G117" s="896"/>
      <c r="H117" s="896"/>
      <c r="I117" s="896"/>
      <c r="J117" s="896"/>
      <c r="K117" s="896"/>
      <c r="L117" s="896"/>
      <c r="M117" s="896"/>
      <c r="N117" s="896"/>
      <c r="O117" s="896"/>
      <c r="P117" s="896"/>
      <c r="Q117" s="896"/>
      <c r="R117" s="896"/>
      <c r="S117" s="896"/>
      <c r="T117" s="897"/>
      <c r="U117" s="15"/>
      <c r="V117" s="8"/>
      <c r="W117" s="8"/>
      <c r="X117" s="781"/>
      <c r="Y117" s="8"/>
      <c r="Z117" s="8"/>
      <c r="AA117" s="8"/>
      <c r="AB117" s="8"/>
      <c r="AC117" s="8"/>
      <c r="AD117" s="17"/>
      <c r="AE117" s="8"/>
      <c r="AF117" s="8"/>
      <c r="AG117" s="8"/>
    </row>
    <row r="118" spans="1:46" ht="15.75" x14ac:dyDescent="0.25">
      <c r="A118" s="107">
        <v>2037</v>
      </c>
      <c r="B118" s="1612"/>
      <c r="C118" s="1606"/>
      <c r="D118" s="1606"/>
      <c r="E118" s="930"/>
      <c r="F118" s="896"/>
      <c r="G118" s="896"/>
      <c r="H118" s="896"/>
      <c r="I118" s="896"/>
      <c r="J118" s="896"/>
      <c r="K118" s="896"/>
      <c r="L118" s="896"/>
      <c r="M118" s="896"/>
      <c r="N118" s="896"/>
      <c r="O118" s="896"/>
      <c r="P118" s="896"/>
      <c r="Q118" s="896"/>
      <c r="R118" s="896"/>
      <c r="S118" s="896"/>
      <c r="T118" s="897"/>
      <c r="U118" s="15"/>
      <c r="V118" s="8"/>
      <c r="W118" s="8"/>
      <c r="X118" s="1777"/>
      <c r="Y118" s="1777"/>
      <c r="Z118" s="1777"/>
      <c r="AA118" s="1777"/>
      <c r="AB118" s="750"/>
      <c r="AC118" s="17"/>
      <c r="AD118" s="8"/>
      <c r="AE118" s="8"/>
      <c r="AF118" s="8"/>
      <c r="AG118" s="8"/>
    </row>
    <row r="119" spans="1:46" ht="15.75" x14ac:dyDescent="0.25">
      <c r="A119" s="107"/>
      <c r="B119" s="1612"/>
      <c r="C119" s="1612"/>
      <c r="D119" s="1612"/>
      <c r="E119" s="937">
        <f>SUM(E84:E118)</f>
        <v>15499.85</v>
      </c>
      <c r="F119" s="99">
        <f>SUM(F84:F118)</f>
        <v>146.9985774193548</v>
      </c>
      <c r="G119" s="99">
        <f t="shared" ref="G119:I119" si="16">SUM(G84:G118)</f>
        <v>4043.6608674193549</v>
      </c>
      <c r="H119" s="99">
        <f t="shared" si="16"/>
        <v>780.84244338709675</v>
      </c>
      <c r="I119" s="99">
        <f t="shared" si="16"/>
        <v>252.99755161290324</v>
      </c>
      <c r="J119" s="105"/>
      <c r="K119" s="105"/>
      <c r="L119" s="105"/>
      <c r="M119" s="105"/>
      <c r="N119" s="99">
        <f t="shared" ref="N119" si="17">SUM(N84:N118)</f>
        <v>10275.350560161291</v>
      </c>
      <c r="O119" s="105"/>
      <c r="P119" s="105"/>
      <c r="Q119" s="105"/>
      <c r="R119" s="64"/>
      <c r="S119" s="105"/>
      <c r="T119" s="105"/>
      <c r="U119" s="15"/>
      <c r="V119" s="8"/>
      <c r="W119" s="8"/>
      <c r="X119" s="17"/>
      <c r="Y119" s="748"/>
      <c r="Z119" s="748"/>
      <c r="AA119" s="748"/>
      <c r="AB119" s="747"/>
      <c r="AC119" s="17"/>
      <c r="AD119" s="747"/>
      <c r="AE119" s="8"/>
      <c r="AF119" s="8"/>
      <c r="AG119" s="8"/>
    </row>
    <row r="120" spans="1:46" ht="15.75" x14ac:dyDescent="0.25">
      <c r="A120" s="269"/>
      <c r="B120" s="647"/>
      <c r="C120" s="647"/>
      <c r="D120" s="77"/>
      <c r="E120" s="647"/>
      <c r="F120" s="285"/>
      <c r="G120" s="285"/>
      <c r="H120" s="285"/>
      <c r="I120" s="285"/>
      <c r="J120" s="285"/>
      <c r="K120" s="285"/>
      <c r="L120" s="285"/>
      <c r="M120" s="285"/>
      <c r="N120" s="285"/>
      <c r="O120" s="285"/>
      <c r="P120" s="285"/>
      <c r="Q120" s="285"/>
      <c r="R120" s="285"/>
      <c r="S120" s="285"/>
      <c r="T120" s="277"/>
      <c r="U120" s="15"/>
      <c r="V120" s="307"/>
      <c r="W120" s="8"/>
      <c r="X120" s="748"/>
      <c r="Y120" s="748"/>
      <c r="Z120" s="748"/>
      <c r="AA120" s="748"/>
      <c r="AB120" s="749"/>
      <c r="AC120" s="17"/>
      <c r="AD120" s="17"/>
      <c r="AE120" s="17"/>
      <c r="AF120" s="17"/>
      <c r="AG120" s="17"/>
    </row>
    <row r="121" spans="1:46" ht="15.75" x14ac:dyDescent="0.25">
      <c r="A121" s="78" t="s">
        <v>603</v>
      </c>
      <c r="B121" s="78"/>
      <c r="C121" s="77"/>
      <c r="D121" s="77"/>
      <c r="E121" s="108"/>
      <c r="F121" s="276"/>
      <c r="G121" s="276"/>
      <c r="H121" s="272"/>
      <c r="I121" s="272"/>
      <c r="J121" s="17"/>
      <c r="K121" s="17"/>
      <c r="L121" s="17"/>
      <c r="M121" s="275"/>
      <c r="N121" s="275"/>
      <c r="O121" s="275"/>
      <c r="P121" s="17"/>
      <c r="Q121" s="276"/>
      <c r="R121" s="276"/>
      <c r="S121" s="276"/>
      <c r="T121" s="277"/>
      <c r="U121" s="15"/>
      <c r="V121" s="782"/>
      <c r="W121" s="8"/>
      <c r="X121" s="8"/>
      <c r="Y121" s="8"/>
      <c r="Z121" s="8"/>
      <c r="AA121" s="779"/>
      <c r="AB121" s="751"/>
      <c r="AC121" s="17"/>
      <c r="AD121" s="17"/>
      <c r="AE121" s="17"/>
      <c r="AF121" s="17"/>
      <c r="AG121" s="17"/>
    </row>
    <row r="122" spans="1:46" ht="99" customHeight="1" x14ac:dyDescent="0.25">
      <c r="A122" s="932" t="s">
        <v>724</v>
      </c>
      <c r="B122" s="300" t="s">
        <v>85</v>
      </c>
      <c r="C122" s="300" t="s">
        <v>481</v>
      </c>
      <c r="D122" s="301" t="s">
        <v>846</v>
      </c>
      <c r="E122" s="300" t="s">
        <v>487</v>
      </c>
      <c r="F122" s="301" t="s">
        <v>17</v>
      </c>
      <c r="G122" s="300" t="s">
        <v>200</v>
      </c>
      <c r="H122" s="300" t="s">
        <v>199</v>
      </c>
      <c r="I122" s="300" t="s">
        <v>299</v>
      </c>
      <c r="J122" s="300" t="s">
        <v>300</v>
      </c>
      <c r="K122" s="300" t="s">
        <v>235</v>
      </c>
      <c r="L122" s="300" t="s">
        <v>41</v>
      </c>
      <c r="M122" s="300" t="s">
        <v>307</v>
      </c>
      <c r="N122" s="300" t="s">
        <v>463</v>
      </c>
      <c r="O122" s="300" t="s">
        <v>464</v>
      </c>
      <c r="P122" s="300" t="s">
        <v>578</v>
      </c>
      <c r="Q122" s="300" t="s">
        <v>577</v>
      </c>
      <c r="R122" s="300" t="s">
        <v>579</v>
      </c>
      <c r="S122" s="300" t="s">
        <v>91</v>
      </c>
      <c r="T122" s="300" t="s">
        <v>452</v>
      </c>
      <c r="U122" s="302" t="s">
        <v>16</v>
      </c>
      <c r="V122" s="8"/>
      <c r="W122" s="8"/>
      <c r="X122" s="783"/>
      <c r="Y122" s="66"/>
      <c r="Z122" s="66"/>
      <c r="AA122" s="16"/>
      <c r="AB122" s="785"/>
      <c r="AC122" s="17"/>
      <c r="AD122" s="17"/>
      <c r="AE122" s="744"/>
      <c r="AF122" s="17"/>
      <c r="AG122" s="17"/>
    </row>
    <row r="123" spans="1:46" ht="15.75" x14ac:dyDescent="0.25">
      <c r="A123" s="103" t="s">
        <v>489</v>
      </c>
      <c r="B123" s="103"/>
      <c r="C123" s="103"/>
      <c r="D123" s="103"/>
      <c r="E123" s="103"/>
      <c r="F123" s="345"/>
      <c r="G123" s="105">
        <f>+'SDE&amp;MEP tm 2012'!F140</f>
        <v>0</v>
      </c>
      <c r="H123" s="105">
        <f>+'SDE&amp;MEP tm 2012'!F141</f>
        <v>0</v>
      </c>
      <c r="I123" s="104">
        <f>+'SDE&amp;MEP tm 2012'!F142</f>
        <v>0</v>
      </c>
      <c r="J123" s="104"/>
      <c r="K123" s="104">
        <f>+'SDE&amp;MEP tm 2012'!F143</f>
        <v>0</v>
      </c>
      <c r="L123" s="104">
        <f>+'SDE&amp;MEP tm 2012'!F144</f>
        <v>0</v>
      </c>
      <c r="M123" s="104"/>
      <c r="N123" s="346"/>
      <c r="O123" s="110">
        <f>+'SDE&amp;MEP tm 2012'!G148</f>
        <v>0</v>
      </c>
      <c r="P123" s="110"/>
      <c r="Q123" s="106"/>
      <c r="R123" s="64"/>
      <c r="S123" s="103"/>
      <c r="T123" s="103"/>
      <c r="U123" s="103">
        <f t="shared" ref="U123:U158" si="18">SUM(F123:T123)</f>
        <v>0</v>
      </c>
      <c r="V123" s="8"/>
      <c r="W123" s="8"/>
      <c r="X123" s="8"/>
      <c r="Y123" s="8"/>
      <c r="Z123" s="8"/>
      <c r="AA123" s="17"/>
      <c r="AB123" s="8"/>
      <c r="AC123" s="17"/>
      <c r="AD123" s="17"/>
      <c r="AE123" s="17"/>
      <c r="AF123" s="17"/>
      <c r="AG123" s="17"/>
      <c r="AT123" s="627"/>
    </row>
    <row r="124" spans="1:46" ht="15.75" x14ac:dyDescent="0.25">
      <c r="A124" s="107">
        <v>2003</v>
      </c>
      <c r="B124" s="267"/>
      <c r="C124" s="267"/>
      <c r="D124" s="267"/>
      <c r="E124" s="267"/>
      <c r="F124" s="345">
        <f t="shared" ref="F124:T124" si="19">F7+F84</f>
        <v>3.7935483870967741</v>
      </c>
      <c r="G124" s="345">
        <f t="shared" si="19"/>
        <v>104.35354838709678</v>
      </c>
      <c r="H124" s="345">
        <f t="shared" si="19"/>
        <v>20.150967741935482</v>
      </c>
      <c r="I124" s="345">
        <f t="shared" si="19"/>
        <v>6.5290322580645164</v>
      </c>
      <c r="J124" s="345">
        <f t="shared" si="19"/>
        <v>3.3333333333333339</v>
      </c>
      <c r="K124" s="345">
        <f t="shared" si="19"/>
        <v>0</v>
      </c>
      <c r="L124" s="345">
        <f t="shared" si="19"/>
        <v>0</v>
      </c>
      <c r="M124" s="345">
        <f t="shared" si="19"/>
        <v>0</v>
      </c>
      <c r="N124" s="345">
        <f t="shared" si="19"/>
        <v>265.17290322580646</v>
      </c>
      <c r="O124" s="345">
        <f t="shared" si="19"/>
        <v>0</v>
      </c>
      <c r="P124" s="345">
        <f t="shared" si="19"/>
        <v>0</v>
      </c>
      <c r="Q124" s="345">
        <f t="shared" si="19"/>
        <v>0</v>
      </c>
      <c r="R124" s="345">
        <f t="shared" si="19"/>
        <v>0</v>
      </c>
      <c r="S124" s="345">
        <f t="shared" si="19"/>
        <v>150</v>
      </c>
      <c r="T124" s="345">
        <f t="shared" si="19"/>
        <v>0</v>
      </c>
      <c r="U124" s="103">
        <f t="shared" si="18"/>
        <v>553.33333333333337</v>
      </c>
      <c r="V124" s="8"/>
      <c r="W124" s="8"/>
      <c r="X124" s="8"/>
      <c r="Y124" s="8"/>
      <c r="Z124" s="8"/>
      <c r="AA124" s="17"/>
      <c r="AB124" s="8"/>
      <c r="AC124" s="17"/>
      <c r="AD124" s="17"/>
      <c r="AE124" s="17"/>
      <c r="AF124" s="17"/>
      <c r="AG124" s="17"/>
    </row>
    <row r="125" spans="1:46" ht="15.75" x14ac:dyDescent="0.25">
      <c r="A125" s="107">
        <v>2004</v>
      </c>
      <c r="B125" s="267"/>
      <c r="C125" s="267"/>
      <c r="D125" s="267"/>
      <c r="E125" s="267"/>
      <c r="F125" s="345">
        <f t="shared" ref="F125:T125" si="20">F8+F85</f>
        <v>4.2677419354838708</v>
      </c>
      <c r="G125" s="345">
        <f t="shared" si="20"/>
        <v>117.39774193548386</v>
      </c>
      <c r="H125" s="345">
        <f t="shared" si="20"/>
        <v>22.669838709677414</v>
      </c>
      <c r="I125" s="345">
        <f t="shared" si="20"/>
        <v>7.3451612903225802</v>
      </c>
      <c r="J125" s="345">
        <f t="shared" si="20"/>
        <v>3.3333333333333339</v>
      </c>
      <c r="K125" s="345">
        <f t="shared" si="20"/>
        <v>0</v>
      </c>
      <c r="L125" s="345">
        <f t="shared" si="20"/>
        <v>0</v>
      </c>
      <c r="M125" s="345">
        <f t="shared" si="20"/>
        <v>0</v>
      </c>
      <c r="N125" s="345">
        <f t="shared" si="20"/>
        <v>298.31951612903225</v>
      </c>
      <c r="O125" s="345">
        <f t="shared" si="20"/>
        <v>0</v>
      </c>
      <c r="P125" s="345">
        <f t="shared" si="20"/>
        <v>0</v>
      </c>
      <c r="Q125" s="345">
        <f t="shared" si="20"/>
        <v>0</v>
      </c>
      <c r="R125" s="345">
        <f t="shared" si="20"/>
        <v>0</v>
      </c>
      <c r="S125" s="345">
        <f t="shared" si="20"/>
        <v>167.1930242207701</v>
      </c>
      <c r="T125" s="345">
        <f t="shared" si="20"/>
        <v>0</v>
      </c>
      <c r="U125" s="103">
        <f t="shared" si="18"/>
        <v>620.52635755410347</v>
      </c>
      <c r="V125" s="8"/>
      <c r="W125" s="8"/>
      <c r="X125" s="8"/>
      <c r="Y125" s="8"/>
      <c r="Z125" s="8"/>
      <c r="AA125" s="17"/>
      <c r="AB125" s="8"/>
      <c r="AC125" s="17"/>
      <c r="AD125" s="17"/>
      <c r="AE125" s="17"/>
      <c r="AF125" s="17"/>
      <c r="AG125" s="17"/>
    </row>
    <row r="126" spans="1:46" ht="15.75" x14ac:dyDescent="0.25">
      <c r="A126" s="107">
        <v>2005</v>
      </c>
      <c r="B126" s="267"/>
      <c r="C126" s="267"/>
      <c r="D126" s="267"/>
      <c r="E126" s="267"/>
      <c r="F126" s="345">
        <f t="shared" ref="F126:T126" si="21">F9+F86</f>
        <v>4.2677419354838708</v>
      </c>
      <c r="G126" s="345">
        <f t="shared" si="21"/>
        <v>117.39774193548386</v>
      </c>
      <c r="H126" s="345">
        <f t="shared" si="21"/>
        <v>22.669838709677414</v>
      </c>
      <c r="I126" s="345">
        <f t="shared" si="21"/>
        <v>7.3451612903225802</v>
      </c>
      <c r="J126" s="345">
        <f t="shared" si="21"/>
        <v>3.3333333333333339</v>
      </c>
      <c r="K126" s="345">
        <f t="shared" si="21"/>
        <v>0</v>
      </c>
      <c r="L126" s="345">
        <f t="shared" si="21"/>
        <v>0</v>
      </c>
      <c r="M126" s="345">
        <f t="shared" si="21"/>
        <v>0</v>
      </c>
      <c r="N126" s="345">
        <f t="shared" si="21"/>
        <v>298.31951612903225</v>
      </c>
      <c r="O126" s="345">
        <f t="shared" si="21"/>
        <v>0</v>
      </c>
      <c r="P126" s="345">
        <f t="shared" si="21"/>
        <v>0</v>
      </c>
      <c r="Q126" s="345">
        <f t="shared" si="21"/>
        <v>0</v>
      </c>
      <c r="R126" s="345">
        <f t="shared" si="21"/>
        <v>0</v>
      </c>
      <c r="S126" s="345">
        <f t="shared" si="21"/>
        <v>187.10716380936614</v>
      </c>
      <c r="T126" s="345">
        <f t="shared" si="21"/>
        <v>0</v>
      </c>
      <c r="U126" s="103">
        <f t="shared" si="18"/>
        <v>640.44049714269943</v>
      </c>
      <c r="V126" s="8"/>
      <c r="W126" s="8"/>
      <c r="X126" s="8"/>
      <c r="Y126" s="8"/>
      <c r="Z126" s="8"/>
      <c r="AA126" s="17"/>
      <c r="AB126" s="8"/>
      <c r="AC126" s="17"/>
      <c r="AD126" s="17"/>
      <c r="AE126" s="17"/>
      <c r="AF126" s="17"/>
      <c r="AG126" s="17"/>
    </row>
    <row r="127" spans="1:46" ht="15.75" x14ac:dyDescent="0.25">
      <c r="A127" s="107">
        <v>2006</v>
      </c>
      <c r="B127" s="267"/>
      <c r="C127" s="267"/>
      <c r="D127" s="267"/>
      <c r="E127" s="267"/>
      <c r="F127" s="345">
        <f t="shared" ref="F127:T127" si="22">F10+F87</f>
        <v>4.2677419354838708</v>
      </c>
      <c r="G127" s="345">
        <f t="shared" si="22"/>
        <v>117.39774193548386</v>
      </c>
      <c r="H127" s="345">
        <f t="shared" si="22"/>
        <v>22.669838709677414</v>
      </c>
      <c r="I127" s="345">
        <f t="shared" si="22"/>
        <v>7.3451612903225802</v>
      </c>
      <c r="J127" s="345">
        <f t="shared" si="22"/>
        <v>3.3472222222222223</v>
      </c>
      <c r="K127" s="345">
        <f t="shared" si="22"/>
        <v>0</v>
      </c>
      <c r="L127" s="345">
        <f t="shared" si="22"/>
        <v>0</v>
      </c>
      <c r="M127" s="345">
        <f t="shared" si="22"/>
        <v>0</v>
      </c>
      <c r="N127" s="345">
        <f t="shared" si="22"/>
        <v>298.31951612903225</v>
      </c>
      <c r="O127" s="345">
        <f t="shared" si="22"/>
        <v>0</v>
      </c>
      <c r="P127" s="345">
        <f t="shared" si="22"/>
        <v>0</v>
      </c>
      <c r="Q127" s="345">
        <f t="shared" si="22"/>
        <v>0</v>
      </c>
      <c r="R127" s="345">
        <f t="shared" si="22"/>
        <v>0</v>
      </c>
      <c r="S127" s="345">
        <f t="shared" si="22"/>
        <v>206.89737935247089</v>
      </c>
      <c r="T127" s="345">
        <f t="shared" si="22"/>
        <v>0</v>
      </c>
      <c r="U127" s="103">
        <f t="shared" si="18"/>
        <v>660.24460157469309</v>
      </c>
      <c r="V127" s="8"/>
      <c r="W127" s="8"/>
      <c r="X127" s="8"/>
      <c r="Y127" s="8"/>
      <c r="Z127" s="8"/>
      <c r="AA127" s="17"/>
      <c r="AB127" s="8"/>
      <c r="AC127" s="17"/>
      <c r="AD127" s="17"/>
      <c r="AE127" s="17"/>
      <c r="AF127" s="17"/>
      <c r="AG127" s="17"/>
    </row>
    <row r="128" spans="1:46" ht="15.75" x14ac:dyDescent="0.25">
      <c r="A128" s="107">
        <v>2007</v>
      </c>
      <c r="B128" s="267"/>
      <c r="C128" s="267"/>
      <c r="D128" s="267"/>
      <c r="E128" s="267"/>
      <c r="F128" s="345">
        <f t="shared" ref="F128:T128" si="23">F11+F88</f>
        <v>4.8452148387096772</v>
      </c>
      <c r="G128" s="345">
        <f t="shared" si="23"/>
        <v>133.28296083870967</v>
      </c>
      <c r="H128" s="345">
        <f t="shared" si="23"/>
        <v>25.737319774193548</v>
      </c>
      <c r="I128" s="345">
        <f t="shared" si="23"/>
        <v>8.3390432258064511</v>
      </c>
      <c r="J128" s="345">
        <f t="shared" si="23"/>
        <v>3.3777777777777782</v>
      </c>
      <c r="K128" s="345">
        <f t="shared" si="23"/>
        <v>0</v>
      </c>
      <c r="L128" s="345">
        <f t="shared" si="23"/>
        <v>0</v>
      </c>
      <c r="M128" s="345">
        <f t="shared" si="23"/>
        <v>0</v>
      </c>
      <c r="N128" s="345">
        <f t="shared" si="23"/>
        <v>338.68546132258069</v>
      </c>
      <c r="O128" s="345">
        <f t="shared" si="23"/>
        <v>0</v>
      </c>
      <c r="P128" s="345">
        <f t="shared" si="23"/>
        <v>0</v>
      </c>
      <c r="Q128" s="345">
        <f t="shared" si="23"/>
        <v>0</v>
      </c>
      <c r="R128" s="345">
        <f t="shared" si="23"/>
        <v>0</v>
      </c>
      <c r="S128" s="345">
        <f t="shared" si="23"/>
        <v>228.11465982073122</v>
      </c>
      <c r="T128" s="345">
        <f t="shared" si="23"/>
        <v>0</v>
      </c>
      <c r="U128" s="103">
        <f t="shared" si="18"/>
        <v>742.38243759850911</v>
      </c>
      <c r="V128" s="8"/>
      <c r="W128" s="8"/>
      <c r="X128" s="8"/>
      <c r="Y128" s="8"/>
      <c r="Z128" s="8"/>
      <c r="AA128" s="17"/>
      <c r="AB128" s="8"/>
      <c r="AC128" s="17"/>
      <c r="AD128" s="17"/>
      <c r="AE128" s="17"/>
      <c r="AF128" s="17"/>
      <c r="AG128" s="17"/>
    </row>
    <row r="129" spans="1:33" ht="15.75" x14ac:dyDescent="0.25">
      <c r="A129" s="107">
        <v>2008</v>
      </c>
      <c r="B129" s="267"/>
      <c r="C129" s="267"/>
      <c r="D129" s="267"/>
      <c r="E129" s="267"/>
      <c r="F129" s="345">
        <f t="shared" ref="F129:T129" si="24">F12+F89</f>
        <v>5.4824835483870977</v>
      </c>
      <c r="G129" s="345">
        <f t="shared" si="24"/>
        <v>150.81305254838708</v>
      </c>
      <c r="H129" s="345">
        <f t="shared" si="24"/>
        <v>29.122430467741935</v>
      </c>
      <c r="I129" s="345">
        <f t="shared" si="24"/>
        <v>9.4358390322580643</v>
      </c>
      <c r="J129" s="345">
        <f t="shared" si="24"/>
        <v>3.4777777777777787</v>
      </c>
      <c r="K129" s="345">
        <f t="shared" si="24"/>
        <v>0</v>
      </c>
      <c r="L129" s="345">
        <f t="shared" si="24"/>
        <v>0</v>
      </c>
      <c r="M129" s="345">
        <f t="shared" si="24"/>
        <v>0</v>
      </c>
      <c r="N129" s="345">
        <f t="shared" si="24"/>
        <v>383.23119440322586</v>
      </c>
      <c r="O129" s="345">
        <f t="shared" si="24"/>
        <v>0</v>
      </c>
      <c r="P129" s="345">
        <f t="shared" si="24"/>
        <v>0.88467973581047943</v>
      </c>
      <c r="Q129" s="345">
        <f t="shared" si="24"/>
        <v>55</v>
      </c>
      <c r="R129" s="345">
        <f t="shared" si="24"/>
        <v>0</v>
      </c>
      <c r="S129" s="345">
        <f t="shared" si="24"/>
        <v>249.0660450069181</v>
      </c>
      <c r="T129" s="345">
        <f t="shared" si="24"/>
        <v>0</v>
      </c>
      <c r="U129" s="103">
        <f t="shared" si="18"/>
        <v>886.51350252050634</v>
      </c>
      <c r="V129" s="8"/>
      <c r="W129" s="8"/>
      <c r="X129" s="8"/>
      <c r="Y129" s="8"/>
      <c r="Z129" s="8"/>
      <c r="AA129" s="17"/>
      <c r="AB129" s="8"/>
      <c r="AC129" s="17"/>
      <c r="AD129" s="17"/>
      <c r="AE129" s="17"/>
      <c r="AF129" s="17"/>
      <c r="AG129" s="17"/>
    </row>
    <row r="130" spans="1:33" ht="15.75" x14ac:dyDescent="0.25">
      <c r="A130" s="107">
        <v>2009</v>
      </c>
      <c r="B130" s="267"/>
      <c r="C130" s="267"/>
      <c r="D130" s="267"/>
      <c r="E130" s="267"/>
      <c r="F130" s="345">
        <f t="shared" ref="F130:T130" si="25">F13+F90</f>
        <v>6.9050641935483874</v>
      </c>
      <c r="G130" s="345">
        <f t="shared" si="25"/>
        <v>189.94563319354839</v>
      </c>
      <c r="H130" s="345">
        <f t="shared" si="25"/>
        <v>36.67904337096774</v>
      </c>
      <c r="I130" s="345">
        <f t="shared" si="25"/>
        <v>11.884226129032259</v>
      </c>
      <c r="J130" s="345">
        <f t="shared" si="25"/>
        <v>4.4027777777777777</v>
      </c>
      <c r="K130" s="345">
        <f t="shared" si="25"/>
        <v>0</v>
      </c>
      <c r="L130" s="345">
        <f t="shared" si="25"/>
        <v>0</v>
      </c>
      <c r="M130" s="345">
        <f t="shared" si="25"/>
        <v>0</v>
      </c>
      <c r="N130" s="345">
        <f t="shared" si="25"/>
        <v>482.67103311290327</v>
      </c>
      <c r="O130" s="345">
        <f t="shared" si="25"/>
        <v>0</v>
      </c>
      <c r="P130" s="345">
        <f t="shared" si="25"/>
        <v>42.906967186808274</v>
      </c>
      <c r="Q130" s="345">
        <f t="shared" si="25"/>
        <v>364</v>
      </c>
      <c r="R130" s="345">
        <f t="shared" si="25"/>
        <v>0</v>
      </c>
      <c r="S130" s="345">
        <f t="shared" si="25"/>
        <v>270.75977131997979</v>
      </c>
      <c r="T130" s="345">
        <f t="shared" si="25"/>
        <v>0</v>
      </c>
      <c r="U130" s="103">
        <f t="shared" si="18"/>
        <v>1410.1545162845659</v>
      </c>
      <c r="V130" s="8"/>
      <c r="W130" s="8"/>
      <c r="X130" s="8"/>
      <c r="Y130" s="8"/>
      <c r="Z130" s="8"/>
      <c r="AA130" s="17"/>
      <c r="AB130" s="8"/>
      <c r="AC130" s="17"/>
      <c r="AD130" s="17"/>
      <c r="AE130" s="17"/>
      <c r="AF130" s="17"/>
      <c r="AG130" s="17"/>
    </row>
    <row r="131" spans="1:33" ht="15.75" x14ac:dyDescent="0.25">
      <c r="A131" s="107">
        <v>2010</v>
      </c>
      <c r="B131" s="267"/>
      <c r="C131" s="267"/>
      <c r="D131" s="267"/>
      <c r="E131" s="267"/>
      <c r="F131" s="345">
        <f t="shared" ref="F131:T131" si="26">F14+F91</f>
        <v>7.142160967741936</v>
      </c>
      <c r="G131" s="345">
        <f t="shared" si="26"/>
        <v>196.46772996774192</v>
      </c>
      <c r="H131" s="345">
        <f t="shared" si="26"/>
        <v>37.938478854838706</v>
      </c>
      <c r="I131" s="345">
        <f t="shared" si="26"/>
        <v>12.292290645161291</v>
      </c>
      <c r="J131" s="345">
        <f t="shared" si="26"/>
        <v>8.9666666666666686</v>
      </c>
      <c r="K131" s="345">
        <f t="shared" si="26"/>
        <v>0</v>
      </c>
      <c r="L131" s="345">
        <f t="shared" si="26"/>
        <v>0</v>
      </c>
      <c r="M131" s="345">
        <f t="shared" si="26"/>
        <v>0</v>
      </c>
      <c r="N131" s="345">
        <f t="shared" si="26"/>
        <v>499.24433956451617</v>
      </c>
      <c r="O131" s="345">
        <f t="shared" si="26"/>
        <v>0</v>
      </c>
      <c r="P131" s="345">
        <f t="shared" si="26"/>
        <v>84.929254637806068</v>
      </c>
      <c r="Q131" s="345">
        <f t="shared" si="26"/>
        <v>719</v>
      </c>
      <c r="R131" s="345">
        <f t="shared" si="26"/>
        <v>0</v>
      </c>
      <c r="S131" s="345">
        <f t="shared" si="26"/>
        <v>294.6299888786113</v>
      </c>
      <c r="T131" s="345">
        <f t="shared" si="26"/>
        <v>0</v>
      </c>
      <c r="U131" s="103">
        <f t="shared" si="18"/>
        <v>1860.6109101830841</v>
      </c>
      <c r="V131" s="8"/>
      <c r="W131" s="8"/>
      <c r="X131" s="8"/>
      <c r="Y131" s="8"/>
      <c r="Z131" s="8"/>
      <c r="AA131" s="17"/>
      <c r="AB131" s="8"/>
      <c r="AC131" s="17"/>
      <c r="AD131" s="17"/>
      <c r="AE131" s="17"/>
      <c r="AF131" s="17"/>
      <c r="AG131" s="17"/>
    </row>
    <row r="132" spans="1:33" ht="15.75" x14ac:dyDescent="0.25">
      <c r="A132" s="107">
        <v>2011</v>
      </c>
      <c r="B132" s="267"/>
      <c r="C132" s="267"/>
      <c r="D132" s="267"/>
      <c r="E132" s="267"/>
      <c r="F132" s="345">
        <f t="shared" ref="F132:T132" si="27">F15+F92</f>
        <v>7.3792577419354846</v>
      </c>
      <c r="G132" s="345">
        <f t="shared" si="27"/>
        <v>202.98982674193547</v>
      </c>
      <c r="H132" s="345">
        <f t="shared" si="27"/>
        <v>39.197914338709673</v>
      </c>
      <c r="I132" s="345">
        <f t="shared" si="27"/>
        <v>12.700355161290323</v>
      </c>
      <c r="J132" s="345">
        <f t="shared" si="27"/>
        <v>18.011111111111113</v>
      </c>
      <c r="K132" s="345">
        <f t="shared" si="27"/>
        <v>0</v>
      </c>
      <c r="L132" s="345">
        <f t="shared" si="27"/>
        <v>0</v>
      </c>
      <c r="M132" s="345">
        <f t="shared" si="27"/>
        <v>0</v>
      </c>
      <c r="N132" s="345">
        <f t="shared" si="27"/>
        <v>515.81764601612906</v>
      </c>
      <c r="O132" s="345">
        <f t="shared" si="27"/>
        <v>0</v>
      </c>
      <c r="P132" s="345">
        <f t="shared" si="27"/>
        <v>101.73816961820518</v>
      </c>
      <c r="Q132" s="345">
        <f t="shared" si="27"/>
        <v>1177</v>
      </c>
      <c r="R132" s="345">
        <f t="shared" si="27"/>
        <v>0</v>
      </c>
      <c r="S132" s="345">
        <f t="shared" si="27"/>
        <v>316.42344263281268</v>
      </c>
      <c r="T132" s="345">
        <f t="shared" si="27"/>
        <v>0</v>
      </c>
      <c r="U132" s="103">
        <f t="shared" si="18"/>
        <v>2391.2577233621291</v>
      </c>
      <c r="V132" s="8"/>
      <c r="W132" s="8"/>
      <c r="X132" s="8"/>
      <c r="Y132" s="8"/>
      <c r="Z132" s="8"/>
      <c r="AA132" s="17"/>
      <c r="AB132" s="8"/>
      <c r="AC132" s="17"/>
      <c r="AD132" s="17"/>
      <c r="AE132" s="17"/>
      <c r="AF132" s="17"/>
      <c r="AG132" s="17"/>
    </row>
    <row r="133" spans="1:33" ht="15.75" x14ac:dyDescent="0.25">
      <c r="A133" s="107">
        <v>2012</v>
      </c>
      <c r="B133" s="267"/>
      <c r="C133" s="267"/>
      <c r="D133" s="267"/>
      <c r="E133" s="267"/>
      <c r="F133" s="345">
        <f t="shared" ref="F133:T133" si="28">F16+F93</f>
        <v>7.3792577419354846</v>
      </c>
      <c r="G133" s="345">
        <f t="shared" si="28"/>
        <v>202.98982674193547</v>
      </c>
      <c r="H133" s="345">
        <f t="shared" si="28"/>
        <v>39.197914338709673</v>
      </c>
      <c r="I133" s="345">
        <f t="shared" si="28"/>
        <v>12.700355161290323</v>
      </c>
      <c r="J133" s="345">
        <f t="shared" si="28"/>
        <v>59.222222222222229</v>
      </c>
      <c r="K133" s="345">
        <f t="shared" si="28"/>
        <v>0</v>
      </c>
      <c r="L133" s="345">
        <f t="shared" si="28"/>
        <v>0</v>
      </c>
      <c r="M133" s="345">
        <f t="shared" si="28"/>
        <v>0</v>
      </c>
      <c r="N133" s="345">
        <f t="shared" si="28"/>
        <v>515.81764601612906</v>
      </c>
      <c r="O133" s="345">
        <f t="shared" si="28"/>
        <v>0</v>
      </c>
      <c r="P133" s="345">
        <f t="shared" si="28"/>
        <v>118.5470845986043</v>
      </c>
      <c r="Q133" s="345">
        <f t="shared" si="28"/>
        <v>1425</v>
      </c>
      <c r="R133" s="345">
        <f t="shared" si="28"/>
        <v>0</v>
      </c>
      <c r="S133" s="345">
        <f t="shared" si="28"/>
        <v>340.38162353765051</v>
      </c>
      <c r="T133" s="345">
        <f t="shared" si="28"/>
        <v>0</v>
      </c>
      <c r="U133" s="103">
        <f t="shared" si="18"/>
        <v>2721.2359303584772</v>
      </c>
      <c r="V133" s="8"/>
      <c r="W133" s="8"/>
      <c r="X133" s="8"/>
      <c r="Y133" s="8"/>
      <c r="Z133" s="8"/>
      <c r="AA133" s="17"/>
      <c r="AB133" s="8"/>
      <c r="AC133" s="17"/>
      <c r="AD133" s="17"/>
      <c r="AE133" s="17"/>
      <c r="AF133" s="17"/>
      <c r="AG133" s="17"/>
    </row>
    <row r="134" spans="1:33" ht="15.75" x14ac:dyDescent="0.25">
      <c r="A134" s="107">
        <v>2013</v>
      </c>
      <c r="B134" s="267"/>
      <c r="C134" s="267"/>
      <c r="D134" s="267"/>
      <c r="E134" s="267"/>
      <c r="F134" s="345">
        <f t="shared" ref="F134:T134" si="29">F17+F94</f>
        <v>6.4308706451612911</v>
      </c>
      <c r="G134" s="345">
        <f t="shared" si="29"/>
        <v>218.78943964516128</v>
      </c>
      <c r="H134" s="345">
        <f t="shared" si="29"/>
        <v>34.160172403225801</v>
      </c>
      <c r="I134" s="345">
        <f t="shared" si="29"/>
        <v>11.068097096774194</v>
      </c>
      <c r="J134" s="345">
        <f t="shared" si="29"/>
        <v>73.684407382550347</v>
      </c>
      <c r="K134" s="345">
        <f t="shared" si="29"/>
        <v>0</v>
      </c>
      <c r="L134" s="345">
        <f t="shared" si="29"/>
        <v>0</v>
      </c>
      <c r="M134" s="345">
        <f t="shared" si="29"/>
        <v>0</v>
      </c>
      <c r="N134" s="345">
        <f t="shared" si="29"/>
        <v>449.52442020967749</v>
      </c>
      <c r="O134" s="345">
        <f t="shared" si="29"/>
        <v>0</v>
      </c>
      <c r="P134" s="345">
        <f t="shared" si="29"/>
        <v>114.12368591955192</v>
      </c>
      <c r="Q134" s="345">
        <f t="shared" si="29"/>
        <v>1535</v>
      </c>
      <c r="R134" s="345">
        <f t="shared" si="29"/>
        <v>827.66899999999998</v>
      </c>
      <c r="S134" s="345">
        <f t="shared" si="29"/>
        <v>418.45764756316646</v>
      </c>
      <c r="T134" s="345">
        <f t="shared" si="29"/>
        <v>229.23974999999973</v>
      </c>
      <c r="U134" s="103">
        <f t="shared" si="18"/>
        <v>3918.1474908652685</v>
      </c>
      <c r="V134" s="8"/>
      <c r="W134" s="8"/>
      <c r="X134" s="8"/>
      <c r="Y134" s="8"/>
      <c r="Z134" s="8"/>
      <c r="AA134" s="17"/>
      <c r="AB134" s="8"/>
      <c r="AC134" s="17"/>
      <c r="AD134" s="17"/>
      <c r="AE134" s="17"/>
      <c r="AF134" s="17"/>
      <c r="AG134" s="17"/>
    </row>
    <row r="135" spans="1:33" s="3" customFormat="1" ht="15.75" x14ac:dyDescent="0.25">
      <c r="A135" s="648">
        <v>2014</v>
      </c>
      <c r="B135" s="649"/>
      <c r="C135" s="649"/>
      <c r="D135" s="649"/>
      <c r="E135" s="649"/>
      <c r="F135" s="650">
        <f t="shared" ref="F135:T135" si="30">F18+F95</f>
        <v>5.1979674193548391</v>
      </c>
      <c r="G135" s="650">
        <f t="shared" si="30"/>
        <v>207.27933641935482</v>
      </c>
      <c r="H135" s="650">
        <f t="shared" si="30"/>
        <v>27.611107887096775</v>
      </c>
      <c r="I135" s="650">
        <f t="shared" si="30"/>
        <v>12.846161612903227</v>
      </c>
      <c r="J135" s="650">
        <f t="shared" si="30"/>
        <v>120.53457776717556</v>
      </c>
      <c r="K135" s="650">
        <f t="shared" si="30"/>
        <v>1.4404761904761905</v>
      </c>
      <c r="L135" s="650">
        <f t="shared" si="30"/>
        <v>9.8214285714285694</v>
      </c>
      <c r="M135" s="650">
        <f t="shared" si="30"/>
        <v>3.1746031746031744</v>
      </c>
      <c r="N135" s="650">
        <f t="shared" si="30"/>
        <v>363.34322666129037</v>
      </c>
      <c r="O135" s="650">
        <f t="shared" si="30"/>
        <v>43.923571428571421</v>
      </c>
      <c r="P135" s="650">
        <f t="shared" si="30"/>
        <v>131.81728063576148</v>
      </c>
      <c r="Q135" s="650">
        <f t="shared" si="30"/>
        <v>662.46</v>
      </c>
      <c r="R135" s="650">
        <f t="shared" si="30"/>
        <v>835.90359999999998</v>
      </c>
      <c r="S135" s="650">
        <f t="shared" si="30"/>
        <v>445.9701919034697</v>
      </c>
      <c r="T135" s="650">
        <f t="shared" si="30"/>
        <v>229.23974999999973</v>
      </c>
      <c r="U135" s="365">
        <f t="shared" si="18"/>
        <v>3100.5632796714858</v>
      </c>
      <c r="V135" s="17"/>
      <c r="W135" s="17"/>
      <c r="X135" s="8"/>
      <c r="Y135" s="17"/>
      <c r="Z135" s="17"/>
      <c r="AA135" s="17"/>
      <c r="AB135" s="17"/>
      <c r="AC135" s="17"/>
      <c r="AD135" s="17"/>
      <c r="AE135" s="17"/>
      <c r="AF135" s="17"/>
      <c r="AG135" s="17"/>
    </row>
    <row r="136" spans="1:33" ht="15.75" x14ac:dyDescent="0.25">
      <c r="A136" s="107">
        <v>2015</v>
      </c>
      <c r="B136" s="267"/>
      <c r="C136" s="267"/>
      <c r="D136" s="267"/>
      <c r="E136" s="267"/>
      <c r="F136" s="345">
        <f t="shared" ref="F136:T136" si="31">F19+F96</f>
        <v>5.6721609677419362</v>
      </c>
      <c r="G136" s="345">
        <f t="shared" si="31"/>
        <v>287.49592996774197</v>
      </c>
      <c r="H136" s="345">
        <f t="shared" si="31"/>
        <v>76.773978854838703</v>
      </c>
      <c r="I136" s="345">
        <f t="shared" si="31"/>
        <v>21.862290645161288</v>
      </c>
      <c r="J136" s="345">
        <f t="shared" si="31"/>
        <v>168.3103683168317</v>
      </c>
      <c r="K136" s="345">
        <f t="shared" si="31"/>
        <v>2.8809523809523809</v>
      </c>
      <c r="L136" s="345">
        <f t="shared" si="31"/>
        <v>19.642857142857139</v>
      </c>
      <c r="M136" s="345">
        <f t="shared" si="31"/>
        <v>6.3492063492063489</v>
      </c>
      <c r="N136" s="345">
        <f t="shared" si="31"/>
        <v>436.96206178673839</v>
      </c>
      <c r="O136" s="345">
        <f t="shared" si="31"/>
        <v>87.847142857142842</v>
      </c>
      <c r="P136" s="345">
        <f t="shared" si="31"/>
        <v>117.66240486279378</v>
      </c>
      <c r="Q136" s="345">
        <f t="shared" si="31"/>
        <v>203.26499999999999</v>
      </c>
      <c r="R136" s="345">
        <f t="shared" si="31"/>
        <v>871.36236874999997</v>
      </c>
      <c r="S136" s="345">
        <f t="shared" si="31"/>
        <v>496.24715972856717</v>
      </c>
      <c r="T136" s="345">
        <f t="shared" si="31"/>
        <v>229.23974999999973</v>
      </c>
      <c r="U136" s="103">
        <f t="shared" si="18"/>
        <v>3031.573632610573</v>
      </c>
      <c r="V136" s="8"/>
      <c r="W136" s="8"/>
      <c r="X136" s="8"/>
      <c r="Y136" s="8"/>
      <c r="Z136" s="8"/>
      <c r="AA136" s="17"/>
      <c r="AB136" s="8"/>
      <c r="AC136" s="17"/>
      <c r="AD136" s="17"/>
      <c r="AE136" s="17"/>
      <c r="AF136" s="17"/>
      <c r="AG136" s="17"/>
    </row>
    <row r="137" spans="1:33" ht="15.75" x14ac:dyDescent="0.25">
      <c r="A137" s="107">
        <v>2016</v>
      </c>
      <c r="B137" s="267"/>
      <c r="C137" s="267"/>
      <c r="D137" s="267"/>
      <c r="E137" s="267"/>
      <c r="F137" s="345">
        <f t="shared" ref="F137:T137" si="32">F20+F97</f>
        <v>8.3276448387096789</v>
      </c>
      <c r="G137" s="345">
        <f t="shared" si="32"/>
        <v>463.62221383870974</v>
      </c>
      <c r="H137" s="345">
        <f t="shared" si="32"/>
        <v>90.879656274193536</v>
      </c>
      <c r="I137" s="345">
        <f t="shared" si="32"/>
        <v>31.12261322580645</v>
      </c>
      <c r="J137" s="345">
        <f t="shared" si="32"/>
        <v>199.21286653465347</v>
      </c>
      <c r="K137" s="345">
        <f t="shared" si="32"/>
        <v>4.3214285714285721</v>
      </c>
      <c r="L137" s="345">
        <f t="shared" si="32"/>
        <v>29.464285714285708</v>
      </c>
      <c r="M137" s="345">
        <f t="shared" si="32"/>
        <v>9.5238095238095237</v>
      </c>
      <c r="N137" s="345">
        <f t="shared" si="32"/>
        <v>663.0553162670252</v>
      </c>
      <c r="O137" s="345">
        <f t="shared" si="32"/>
        <v>131.77071428571426</v>
      </c>
      <c r="P137" s="345">
        <f t="shared" si="32"/>
        <v>131.81728063576148</v>
      </c>
      <c r="Q137" s="345">
        <f t="shared" si="32"/>
        <v>170.95500000000001</v>
      </c>
      <c r="R137" s="345">
        <f t="shared" si="32"/>
        <v>915.89421874999994</v>
      </c>
      <c r="S137" s="345">
        <f t="shared" si="32"/>
        <v>599.86006341878078</v>
      </c>
      <c r="T137" s="345">
        <f t="shared" si="32"/>
        <v>229.23974999999973</v>
      </c>
      <c r="U137" s="103">
        <f t="shared" si="18"/>
        <v>3679.0668618788777</v>
      </c>
      <c r="V137" s="8"/>
      <c r="W137" s="8"/>
      <c r="X137" s="8"/>
      <c r="Y137" s="8"/>
      <c r="Z137" s="8"/>
      <c r="AA137" s="17"/>
      <c r="AB137" s="8"/>
      <c r="AC137" s="17"/>
      <c r="AD137" s="17"/>
      <c r="AE137" s="17"/>
      <c r="AF137" s="17"/>
      <c r="AG137" s="17"/>
    </row>
    <row r="138" spans="1:33" s="1651" customFormat="1" ht="15.75" x14ac:dyDescent="0.25">
      <c r="A138" s="1646">
        <v>2017</v>
      </c>
      <c r="B138" s="1647"/>
      <c r="C138" s="1647"/>
      <c r="D138" s="1647"/>
      <c r="E138" s="1647"/>
      <c r="F138" s="1648">
        <f t="shared" ref="F138:T138" si="33">F21+F98</f>
        <v>7.513075161290323</v>
      </c>
      <c r="G138" s="1648">
        <f t="shared" si="33"/>
        <v>509.72949816129034</v>
      </c>
      <c r="H138" s="1648">
        <f t="shared" si="33"/>
        <v>416.49273972580653</v>
      </c>
      <c r="I138" s="1648">
        <f t="shared" si="33"/>
        <v>34.410666774193551</v>
      </c>
      <c r="J138" s="1648">
        <f t="shared" si="33"/>
        <v>249.86251247524751</v>
      </c>
      <c r="K138" s="1648">
        <f t="shared" si="33"/>
        <v>5.7619047619047619</v>
      </c>
      <c r="L138" s="1648">
        <f t="shared" si="33"/>
        <v>39.285714285714278</v>
      </c>
      <c r="M138" s="1648">
        <f t="shared" si="33"/>
        <v>12.698412698412698</v>
      </c>
      <c r="N138" s="1648">
        <f t="shared" si="33"/>
        <v>646.58828684408604</v>
      </c>
      <c r="O138" s="1648">
        <f t="shared" si="33"/>
        <v>175.69428571428568</v>
      </c>
      <c r="P138" s="1648">
        <f t="shared" si="33"/>
        <v>175.16658769047496</v>
      </c>
      <c r="Q138" s="1648">
        <f t="shared" si="33"/>
        <v>315</v>
      </c>
      <c r="R138" s="1648">
        <f t="shared" si="33"/>
        <v>1613.68748125</v>
      </c>
      <c r="S138" s="1648">
        <f t="shared" si="33"/>
        <v>623.23392152261226</v>
      </c>
      <c r="T138" s="1648">
        <f t="shared" si="33"/>
        <v>229.23974999999973</v>
      </c>
      <c r="U138" s="1649">
        <f t="shared" si="18"/>
        <v>5054.3648370653191</v>
      </c>
      <c r="V138" s="1650"/>
      <c r="W138" s="1650"/>
      <c r="X138" s="1650"/>
      <c r="Y138" s="1650"/>
      <c r="Z138" s="1650"/>
      <c r="AA138" s="1650"/>
      <c r="AB138" s="1650"/>
      <c r="AC138" s="1650"/>
      <c r="AD138" s="1650"/>
      <c r="AE138" s="1650"/>
      <c r="AF138" s="1650"/>
      <c r="AG138" s="1650"/>
    </row>
    <row r="139" spans="1:33" ht="15.75" x14ac:dyDescent="0.25">
      <c r="A139" s="107">
        <v>2018</v>
      </c>
      <c r="B139" s="267"/>
      <c r="C139" s="267"/>
      <c r="D139" s="267"/>
      <c r="E139" s="267"/>
      <c r="F139" s="345">
        <f t="shared" ref="F139:T139" si="34">F22+F99</f>
        <v>6.6387096774193548</v>
      </c>
      <c r="G139" s="345">
        <f t="shared" si="34"/>
        <v>554.1919096774194</v>
      </c>
      <c r="H139" s="345">
        <f t="shared" si="34"/>
        <v>411.84819354838714</v>
      </c>
      <c r="I139" s="345">
        <f t="shared" si="34"/>
        <v>37.595806451612901</v>
      </c>
      <c r="J139" s="345">
        <f t="shared" si="34"/>
        <v>297.14376237623759</v>
      </c>
      <c r="K139" s="345">
        <f t="shared" si="34"/>
        <v>7.2023809523809526</v>
      </c>
      <c r="L139" s="345">
        <f t="shared" si="34"/>
        <v>49.107142857142854</v>
      </c>
      <c r="M139" s="345">
        <f t="shared" si="34"/>
        <v>15.873015873015872</v>
      </c>
      <c r="N139" s="345">
        <f t="shared" si="34"/>
        <v>1136.3581362007171</v>
      </c>
      <c r="O139" s="345">
        <f t="shared" si="34"/>
        <v>219.61785714285708</v>
      </c>
      <c r="P139" s="345">
        <f t="shared" si="34"/>
        <v>218.51589474518852</v>
      </c>
      <c r="Q139" s="345">
        <f t="shared" si="34"/>
        <v>315</v>
      </c>
      <c r="R139" s="345">
        <f t="shared" si="34"/>
        <v>1653.8582437499999</v>
      </c>
      <c r="S139" s="345">
        <f t="shared" si="34"/>
        <v>654.09889871168252</v>
      </c>
      <c r="T139" s="345">
        <f t="shared" si="34"/>
        <v>229.23974999999973</v>
      </c>
      <c r="U139" s="103">
        <f t="shared" si="18"/>
        <v>5806.2897019640614</v>
      </c>
      <c r="V139" s="8"/>
      <c r="W139" s="8"/>
      <c r="X139" s="8"/>
      <c r="Y139" s="17"/>
      <c r="Z139" s="17"/>
      <c r="AA139" s="17"/>
      <c r="AB139" s="17"/>
      <c r="AC139" s="17"/>
      <c r="AD139" s="17"/>
      <c r="AE139" s="17"/>
      <c r="AF139" s="17"/>
      <c r="AG139" s="17"/>
    </row>
    <row r="140" spans="1:33" ht="15.75" x14ac:dyDescent="0.25">
      <c r="A140" s="107">
        <v>2019</v>
      </c>
      <c r="B140" s="267"/>
      <c r="C140" s="267"/>
      <c r="D140" s="267"/>
      <c r="E140" s="267"/>
      <c r="F140" s="345">
        <f t="shared" ref="F140:T140" si="35">F23+F100</f>
        <v>6.6387096774193548</v>
      </c>
      <c r="G140" s="345">
        <f t="shared" si="35"/>
        <v>622.70650967741938</v>
      </c>
      <c r="H140" s="345">
        <f t="shared" si="35"/>
        <v>411.84819354838714</v>
      </c>
      <c r="I140" s="345">
        <f t="shared" si="35"/>
        <v>42.285806451612899</v>
      </c>
      <c r="J140" s="345">
        <f t="shared" si="35"/>
        <v>346.57188118811882</v>
      </c>
      <c r="K140" s="345">
        <f t="shared" si="35"/>
        <v>8.6428571428571441</v>
      </c>
      <c r="L140" s="345">
        <f t="shared" si="35"/>
        <v>58.928571428571416</v>
      </c>
      <c r="M140" s="345">
        <f t="shared" si="35"/>
        <v>19.047619047619044</v>
      </c>
      <c r="N140" s="345">
        <f t="shared" si="35"/>
        <v>1176.8303584229393</v>
      </c>
      <c r="O140" s="345">
        <f t="shared" si="35"/>
        <v>263.54142857142853</v>
      </c>
      <c r="P140" s="345">
        <f t="shared" si="35"/>
        <v>261.86520179990202</v>
      </c>
      <c r="Q140" s="345">
        <f t="shared" si="35"/>
        <v>315</v>
      </c>
      <c r="R140" s="345">
        <f t="shared" si="35"/>
        <v>1694.0290062500001</v>
      </c>
      <c r="S140" s="345">
        <f t="shared" si="35"/>
        <v>684.96387590075267</v>
      </c>
      <c r="T140" s="345">
        <f t="shared" si="35"/>
        <v>229.23974999999973</v>
      </c>
      <c r="U140" s="103">
        <f t="shared" si="18"/>
        <v>6142.1397691070279</v>
      </c>
      <c r="V140" s="8"/>
      <c r="W140" s="8"/>
      <c r="X140" s="8"/>
      <c r="Y140" s="17"/>
      <c r="Z140" s="17"/>
      <c r="AA140" s="786"/>
      <c r="AB140" s="17"/>
      <c r="AC140" s="17"/>
      <c r="AD140" s="17"/>
      <c r="AE140" s="17"/>
      <c r="AF140" s="17"/>
      <c r="AG140" s="17"/>
    </row>
    <row r="141" spans="1:33" ht="15.75" x14ac:dyDescent="0.25">
      <c r="A141" s="107">
        <v>2020</v>
      </c>
      <c r="B141" s="303"/>
      <c r="C141" s="267"/>
      <c r="D141" s="267"/>
      <c r="E141" s="267"/>
      <c r="F141" s="345">
        <f t="shared" ref="F141:T141" si="36">F24+F101</f>
        <v>6.2593548387096778</v>
      </c>
      <c r="G141" s="345">
        <f t="shared" si="36"/>
        <v>680.78575483870975</v>
      </c>
      <c r="H141" s="345">
        <f t="shared" si="36"/>
        <v>602.14209677419353</v>
      </c>
      <c r="I141" s="345">
        <f t="shared" si="36"/>
        <v>46.322903225806449</v>
      </c>
      <c r="J141" s="345">
        <f t="shared" si="36"/>
        <v>395.99999999999989</v>
      </c>
      <c r="K141" s="345">
        <f t="shared" si="36"/>
        <v>10.083333333333334</v>
      </c>
      <c r="L141" s="345">
        <f t="shared" si="36"/>
        <v>68.749999999999986</v>
      </c>
      <c r="M141" s="345">
        <f t="shared" si="36"/>
        <v>22.222222222222225</v>
      </c>
      <c r="N141" s="345">
        <f t="shared" si="36"/>
        <v>1190.7852903225807</v>
      </c>
      <c r="O141" s="345">
        <f t="shared" si="36"/>
        <v>307.46499999999997</v>
      </c>
      <c r="P141" s="345">
        <f t="shared" si="36"/>
        <v>305.21450885461547</v>
      </c>
      <c r="Q141" s="345">
        <f t="shared" si="36"/>
        <v>315</v>
      </c>
      <c r="R141" s="345">
        <f t="shared" si="36"/>
        <v>1866.7315187499999</v>
      </c>
      <c r="S141" s="345">
        <f t="shared" si="36"/>
        <v>715.82885308982304</v>
      </c>
      <c r="T141" s="345">
        <f t="shared" si="36"/>
        <v>229.23974999999973</v>
      </c>
      <c r="U141" s="103">
        <f t="shared" si="18"/>
        <v>6762.8305862499938</v>
      </c>
      <c r="V141" s="8"/>
      <c r="W141" s="784"/>
      <c r="X141" s="8"/>
      <c r="Y141" s="17"/>
      <c r="Z141" s="17"/>
      <c r="AA141" s="17"/>
      <c r="AB141" s="17"/>
      <c r="AC141" s="17"/>
      <c r="AD141" s="17"/>
      <c r="AE141" s="17"/>
      <c r="AF141" s="17"/>
      <c r="AG141" s="745"/>
    </row>
    <row r="142" spans="1:33" ht="15.75" x14ac:dyDescent="0.25">
      <c r="A142" s="107">
        <v>2021</v>
      </c>
      <c r="B142" s="267"/>
      <c r="C142" s="267"/>
      <c r="D142" s="267"/>
      <c r="E142" s="267"/>
      <c r="F142" s="345">
        <f t="shared" ref="F142:T142" si="37">F25+F102</f>
        <v>4.741935483870968</v>
      </c>
      <c r="G142" s="345">
        <f t="shared" si="37"/>
        <v>639.04433548387101</v>
      </c>
      <c r="H142" s="345">
        <f t="shared" si="37"/>
        <v>654.4849096774193</v>
      </c>
      <c r="I142" s="345">
        <f t="shared" si="37"/>
        <v>43.711290322580645</v>
      </c>
      <c r="J142" s="345">
        <f t="shared" si="37"/>
        <v>395.99999999999989</v>
      </c>
      <c r="K142" s="345">
        <f t="shared" si="37"/>
        <v>10.083333333333334</v>
      </c>
      <c r="L142" s="345">
        <f t="shared" si="37"/>
        <v>68.749999999999986</v>
      </c>
      <c r="M142" s="345">
        <f t="shared" si="37"/>
        <v>22.222222222222225</v>
      </c>
      <c r="N142" s="345">
        <f t="shared" si="37"/>
        <v>1084.7161290322581</v>
      </c>
      <c r="O142" s="345">
        <f t="shared" si="37"/>
        <v>307.46499999999997</v>
      </c>
      <c r="P142" s="345">
        <f t="shared" si="37"/>
        <v>304.32982911880504</v>
      </c>
      <c r="Q142" s="345">
        <f t="shared" si="37"/>
        <v>0</v>
      </c>
      <c r="R142" s="345">
        <f t="shared" si="37"/>
        <v>1121.8419187499999</v>
      </c>
      <c r="S142" s="345">
        <f t="shared" si="37"/>
        <v>567.91558027889334</v>
      </c>
      <c r="T142" s="345">
        <f t="shared" si="37"/>
        <v>0</v>
      </c>
      <c r="U142" s="103">
        <f t="shared" si="18"/>
        <v>5225.3064837032543</v>
      </c>
      <c r="V142" s="8"/>
      <c r="W142" s="784"/>
      <c r="X142" s="8"/>
      <c r="Y142" s="17"/>
      <c r="Z142" s="286"/>
      <c r="AA142" s="751"/>
      <c r="AB142" s="100"/>
      <c r="AC142" s="17"/>
      <c r="AD142" s="17"/>
      <c r="AE142" s="742"/>
      <c r="AF142" s="17"/>
      <c r="AG142" s="745"/>
    </row>
    <row r="143" spans="1:33" ht="15.75" x14ac:dyDescent="0.25">
      <c r="A143" s="107">
        <v>2022</v>
      </c>
      <c r="B143" s="267"/>
      <c r="C143" s="267"/>
      <c r="D143" s="267"/>
      <c r="E143" s="267"/>
      <c r="F143" s="345">
        <f t="shared" ref="F143:T143" si="38">F26+F103</f>
        <v>4.741935483870968</v>
      </c>
      <c r="G143" s="345">
        <f t="shared" si="38"/>
        <v>639.04433548387101</v>
      </c>
      <c r="H143" s="345">
        <f t="shared" si="38"/>
        <v>714.88810967741938</v>
      </c>
      <c r="I143" s="345">
        <f t="shared" si="38"/>
        <v>43.711290322580645</v>
      </c>
      <c r="J143" s="345">
        <f t="shared" si="38"/>
        <v>395.99999999999989</v>
      </c>
      <c r="K143" s="345">
        <f t="shared" si="38"/>
        <v>10.083333333333334</v>
      </c>
      <c r="L143" s="345">
        <f t="shared" si="38"/>
        <v>68.749999999999986</v>
      </c>
      <c r="M143" s="345">
        <f t="shared" si="38"/>
        <v>22.222222222222225</v>
      </c>
      <c r="N143" s="345">
        <f t="shared" si="38"/>
        <v>1084.7161290322581</v>
      </c>
      <c r="O143" s="345">
        <f t="shared" si="38"/>
        <v>307.46499999999997</v>
      </c>
      <c r="P143" s="345">
        <f t="shared" si="38"/>
        <v>303.44514938299443</v>
      </c>
      <c r="Q143" s="345">
        <f t="shared" si="38"/>
        <v>0</v>
      </c>
      <c r="R143" s="345">
        <f t="shared" si="38"/>
        <v>589.45231875000013</v>
      </c>
      <c r="S143" s="345">
        <f t="shared" si="38"/>
        <v>567.91558027889334</v>
      </c>
      <c r="T143" s="345">
        <f t="shared" si="38"/>
        <v>0</v>
      </c>
      <c r="U143" s="103">
        <f t="shared" si="18"/>
        <v>4752.4354039674436</v>
      </c>
      <c r="V143" s="8"/>
      <c r="W143" s="784"/>
      <c r="X143" s="8"/>
      <c r="Y143" s="17"/>
      <c r="Z143" s="286"/>
      <c r="AA143" s="751"/>
      <c r="AB143" s="100"/>
      <c r="AC143" s="17"/>
      <c r="AD143" s="17"/>
      <c r="AE143" s="742"/>
      <c r="AF143" s="17"/>
      <c r="AG143" s="745"/>
    </row>
    <row r="144" spans="1:33" ht="15.75" x14ac:dyDescent="0.25">
      <c r="A144" s="107">
        <v>2023</v>
      </c>
      <c r="B144" s="267"/>
      <c r="C144" s="267"/>
      <c r="D144" s="267"/>
      <c r="E144" s="267"/>
      <c r="F144" s="345">
        <f t="shared" ref="F144:T144" si="39">F27+F104</f>
        <v>4.5048387096774194</v>
      </c>
      <c r="G144" s="345">
        <f t="shared" si="39"/>
        <v>632.52223870967748</v>
      </c>
      <c r="H144" s="345">
        <f t="shared" si="39"/>
        <v>774.03187419354845</v>
      </c>
      <c r="I144" s="345">
        <f t="shared" si="39"/>
        <v>43.303225806451607</v>
      </c>
      <c r="J144" s="345">
        <f t="shared" si="39"/>
        <v>395.99999999999989</v>
      </c>
      <c r="K144" s="345">
        <f t="shared" si="39"/>
        <v>10.083333333333334</v>
      </c>
      <c r="L144" s="345">
        <f t="shared" si="39"/>
        <v>68.749999999999986</v>
      </c>
      <c r="M144" s="345">
        <f t="shared" si="39"/>
        <v>22.222222222222225</v>
      </c>
      <c r="N144" s="345">
        <f t="shared" si="39"/>
        <v>1068.1428225806453</v>
      </c>
      <c r="O144" s="345">
        <f t="shared" si="39"/>
        <v>307.46499999999997</v>
      </c>
      <c r="P144" s="345">
        <f t="shared" si="39"/>
        <v>302.56046964718394</v>
      </c>
      <c r="Q144" s="345">
        <f t="shared" si="39"/>
        <v>0</v>
      </c>
      <c r="R144" s="345">
        <f t="shared" si="39"/>
        <v>657.06271875000004</v>
      </c>
      <c r="S144" s="345">
        <f t="shared" si="39"/>
        <v>567.91558027889334</v>
      </c>
      <c r="T144" s="345">
        <f t="shared" si="39"/>
        <v>0</v>
      </c>
      <c r="U144" s="103">
        <f t="shared" si="18"/>
        <v>4854.5643242316337</v>
      </c>
      <c r="V144" s="8"/>
      <c r="W144" s="784"/>
      <c r="X144" s="8"/>
      <c r="Y144" s="17"/>
      <c r="Z144" s="286"/>
      <c r="AA144" s="751"/>
      <c r="AB144" s="100"/>
      <c r="AC144" s="17"/>
      <c r="AD144" s="17"/>
      <c r="AE144" s="742"/>
      <c r="AF144" s="17"/>
      <c r="AG144" s="745"/>
    </row>
    <row r="145" spans="1:33" ht="15.75" x14ac:dyDescent="0.25">
      <c r="A145" s="107">
        <v>2024</v>
      </c>
      <c r="B145" s="107"/>
      <c r="C145" s="267"/>
      <c r="D145" s="267"/>
      <c r="E145" s="267"/>
      <c r="F145" s="345">
        <f t="shared" ref="F145:T145" si="40">F28+F105</f>
        <v>4.2677419354838708</v>
      </c>
      <c r="G145" s="345">
        <f t="shared" si="40"/>
        <v>626.00014193548395</v>
      </c>
      <c r="H145" s="345">
        <f t="shared" si="40"/>
        <v>772.77243870967743</v>
      </c>
      <c r="I145" s="345">
        <f t="shared" si="40"/>
        <v>42.895161290322577</v>
      </c>
      <c r="J145" s="345">
        <f t="shared" si="40"/>
        <v>395.99999999999989</v>
      </c>
      <c r="K145" s="345">
        <f t="shared" si="40"/>
        <v>10.083333333333334</v>
      </c>
      <c r="L145" s="345">
        <f t="shared" si="40"/>
        <v>68.749999999999986</v>
      </c>
      <c r="M145" s="345">
        <f t="shared" si="40"/>
        <v>22.222222222222225</v>
      </c>
      <c r="N145" s="345">
        <f t="shared" si="40"/>
        <v>1051.5695161290323</v>
      </c>
      <c r="O145" s="345">
        <f t="shared" si="40"/>
        <v>307.46499999999997</v>
      </c>
      <c r="P145" s="345">
        <f t="shared" si="40"/>
        <v>300.91749299496473</v>
      </c>
      <c r="Q145" s="345">
        <f t="shared" si="40"/>
        <v>0</v>
      </c>
      <c r="R145" s="345">
        <f t="shared" si="40"/>
        <v>657.06271875000004</v>
      </c>
      <c r="S145" s="345">
        <f t="shared" si="40"/>
        <v>567.91558027889334</v>
      </c>
      <c r="T145" s="345">
        <f t="shared" si="40"/>
        <v>0</v>
      </c>
      <c r="U145" s="103">
        <f t="shared" si="18"/>
        <v>4827.9213475794149</v>
      </c>
      <c r="V145" s="8"/>
      <c r="W145" s="784"/>
      <c r="X145" s="8"/>
      <c r="Y145" s="17"/>
      <c r="Z145" s="286"/>
      <c r="AA145" s="751"/>
      <c r="AB145" s="100"/>
      <c r="AC145" s="17"/>
      <c r="AD145" s="17"/>
      <c r="AE145" s="742"/>
      <c r="AF145" s="17"/>
      <c r="AG145" s="745"/>
    </row>
    <row r="146" spans="1:33" ht="15.75" x14ac:dyDescent="0.25">
      <c r="A146" s="107">
        <v>2025</v>
      </c>
      <c r="B146" s="107"/>
      <c r="C146" s="267"/>
      <c r="D146" s="267"/>
      <c r="E146" s="267"/>
      <c r="F146" s="345">
        <f t="shared" ref="F146:T146" si="41">F29+F106</f>
        <v>4.0306451612903222</v>
      </c>
      <c r="G146" s="345">
        <f t="shared" si="41"/>
        <v>619.47804516129042</v>
      </c>
      <c r="H146" s="345">
        <f t="shared" si="41"/>
        <v>771.51300322580653</v>
      </c>
      <c r="I146" s="345">
        <f t="shared" si="41"/>
        <v>42.487096774193546</v>
      </c>
      <c r="J146" s="345">
        <f t="shared" si="41"/>
        <v>395.99999999999989</v>
      </c>
      <c r="K146" s="345">
        <f t="shared" si="41"/>
        <v>10.083333333333334</v>
      </c>
      <c r="L146" s="345">
        <f t="shared" si="41"/>
        <v>68.749999999999986</v>
      </c>
      <c r="M146" s="345">
        <f t="shared" si="41"/>
        <v>22.222222222222225</v>
      </c>
      <c r="N146" s="345">
        <f t="shared" si="41"/>
        <v>1034.9962096774195</v>
      </c>
      <c r="O146" s="345">
        <f t="shared" si="41"/>
        <v>307.46499999999997</v>
      </c>
      <c r="P146" s="345">
        <f t="shared" si="41"/>
        <v>299.2745163427453</v>
      </c>
      <c r="Q146" s="345">
        <f t="shared" si="41"/>
        <v>0</v>
      </c>
      <c r="R146" s="345">
        <f t="shared" si="41"/>
        <v>657.06271875000004</v>
      </c>
      <c r="S146" s="345">
        <f t="shared" si="41"/>
        <v>567.91558027889334</v>
      </c>
      <c r="T146" s="345">
        <f t="shared" si="41"/>
        <v>0</v>
      </c>
      <c r="U146" s="103">
        <f t="shared" si="18"/>
        <v>4801.2783709271953</v>
      </c>
      <c r="V146" s="8"/>
      <c r="W146" s="784"/>
      <c r="X146" s="8"/>
      <c r="Y146" s="17"/>
      <c r="Z146" s="286"/>
      <c r="AA146" s="751"/>
      <c r="AB146" s="100"/>
      <c r="AC146" s="17"/>
      <c r="AD146" s="17"/>
      <c r="AE146" s="742"/>
      <c r="AF146" s="17"/>
      <c r="AG146" s="745"/>
    </row>
    <row r="147" spans="1:33" ht="15.75" x14ac:dyDescent="0.25">
      <c r="A147" s="107">
        <v>2026</v>
      </c>
      <c r="B147" s="107"/>
      <c r="C147" s="267"/>
      <c r="D147" s="267"/>
      <c r="E147" s="267"/>
      <c r="F147" s="345">
        <f t="shared" ref="F147:T147" si="42">F30+F107</f>
        <v>3.7935483870967741</v>
      </c>
      <c r="G147" s="345">
        <f t="shared" si="42"/>
        <v>612.9559483870969</v>
      </c>
      <c r="H147" s="345">
        <f t="shared" si="42"/>
        <v>770.25356774193551</v>
      </c>
      <c r="I147" s="345">
        <f t="shared" si="42"/>
        <v>42.079032258064515</v>
      </c>
      <c r="J147" s="345">
        <f t="shared" si="42"/>
        <v>395.99999999999989</v>
      </c>
      <c r="K147" s="345">
        <f t="shared" si="42"/>
        <v>10.083333333333334</v>
      </c>
      <c r="L147" s="345">
        <f t="shared" si="42"/>
        <v>68.749999999999986</v>
      </c>
      <c r="M147" s="345">
        <f t="shared" si="42"/>
        <v>22.222222222222225</v>
      </c>
      <c r="N147" s="345">
        <f t="shared" si="42"/>
        <v>508.00623655913984</v>
      </c>
      <c r="O147" s="345">
        <f t="shared" si="42"/>
        <v>307.46499999999997</v>
      </c>
      <c r="P147" s="345">
        <f t="shared" si="42"/>
        <v>297.63153969052576</v>
      </c>
      <c r="Q147" s="345">
        <f t="shared" si="42"/>
        <v>0</v>
      </c>
      <c r="R147" s="345">
        <f t="shared" si="42"/>
        <v>657.06271875000004</v>
      </c>
      <c r="S147" s="345">
        <f t="shared" si="42"/>
        <v>567.91558027889334</v>
      </c>
      <c r="T147" s="345">
        <f t="shared" si="42"/>
        <v>0</v>
      </c>
      <c r="U147" s="103">
        <f t="shared" si="18"/>
        <v>4264.2187276083077</v>
      </c>
      <c r="V147" s="8"/>
      <c r="W147" s="784"/>
      <c r="X147" s="8"/>
      <c r="Y147" s="17"/>
      <c r="Z147" s="286"/>
      <c r="AA147" s="751"/>
      <c r="AB147" s="100"/>
      <c r="AC147" s="17"/>
      <c r="AD147" s="17"/>
      <c r="AE147" s="742"/>
      <c r="AF147" s="17"/>
      <c r="AG147" s="745"/>
    </row>
    <row r="148" spans="1:33" ht="15.75" x14ac:dyDescent="0.25">
      <c r="A148" s="107">
        <v>2027</v>
      </c>
      <c r="B148" s="107"/>
      <c r="C148" s="267"/>
      <c r="D148" s="267"/>
      <c r="E148" s="267"/>
      <c r="F148" s="345">
        <f t="shared" ref="F148:T148" si="43">F31+F108</f>
        <v>3.556451612903226</v>
      </c>
      <c r="G148" s="345">
        <f t="shared" si="43"/>
        <v>606.43385161290337</v>
      </c>
      <c r="H148" s="345">
        <f t="shared" si="43"/>
        <v>768.99413225806461</v>
      </c>
      <c r="I148" s="345">
        <f t="shared" si="43"/>
        <v>41.670967741935485</v>
      </c>
      <c r="J148" s="345">
        <f t="shared" si="43"/>
        <v>395.99999999999989</v>
      </c>
      <c r="K148" s="345">
        <f t="shared" si="43"/>
        <v>10.083333333333334</v>
      </c>
      <c r="L148" s="345">
        <f t="shared" si="43"/>
        <v>68.749999999999986</v>
      </c>
      <c r="M148" s="345">
        <f t="shared" si="43"/>
        <v>22.222222222222225</v>
      </c>
      <c r="N148" s="345">
        <f t="shared" si="43"/>
        <v>491.43293010752694</v>
      </c>
      <c r="O148" s="345">
        <f t="shared" si="43"/>
        <v>307.46499999999997</v>
      </c>
      <c r="P148" s="345">
        <f t="shared" si="43"/>
        <v>295.98856303830632</v>
      </c>
      <c r="Q148" s="345">
        <f t="shared" si="43"/>
        <v>0</v>
      </c>
      <c r="R148" s="345">
        <f t="shared" si="43"/>
        <v>657.06271875000004</v>
      </c>
      <c r="S148" s="345">
        <f t="shared" si="43"/>
        <v>567.91558027889334</v>
      </c>
      <c r="T148" s="345">
        <f t="shared" si="43"/>
        <v>0</v>
      </c>
      <c r="U148" s="103">
        <f t="shared" si="18"/>
        <v>4237.575750956089</v>
      </c>
      <c r="V148" s="8"/>
      <c r="W148" s="784"/>
      <c r="X148" s="8"/>
      <c r="Y148" s="17"/>
      <c r="Z148" s="286"/>
      <c r="AA148" s="751"/>
      <c r="AB148" s="100"/>
      <c r="AC148" s="17"/>
      <c r="AD148" s="17"/>
      <c r="AE148" s="742"/>
      <c r="AF148" s="17"/>
      <c r="AG148" s="745"/>
    </row>
    <row r="149" spans="1:33" ht="15.75" x14ac:dyDescent="0.25">
      <c r="A149" s="107">
        <v>2028</v>
      </c>
      <c r="B149" s="107"/>
      <c r="C149" s="267"/>
      <c r="D149" s="267"/>
      <c r="E149" s="267"/>
      <c r="F149" s="345">
        <f t="shared" ref="F149:T149" si="44">F32+F109</f>
        <v>3.3193548387096774</v>
      </c>
      <c r="G149" s="345">
        <f t="shared" si="44"/>
        <v>558.02375483870969</v>
      </c>
      <c r="H149" s="345">
        <f t="shared" si="44"/>
        <v>767.73469677419359</v>
      </c>
      <c r="I149" s="345">
        <f t="shared" si="44"/>
        <v>39.862903225806448</v>
      </c>
      <c r="J149" s="345">
        <f t="shared" si="44"/>
        <v>395.99999999999989</v>
      </c>
      <c r="K149" s="345">
        <f t="shared" si="44"/>
        <v>10.083333333333334</v>
      </c>
      <c r="L149" s="345">
        <f t="shared" si="44"/>
        <v>68.749999999999986</v>
      </c>
      <c r="M149" s="345">
        <f t="shared" si="44"/>
        <v>22.222222222222225</v>
      </c>
      <c r="N149" s="345">
        <f t="shared" si="44"/>
        <v>474.85962365591405</v>
      </c>
      <c r="O149" s="345">
        <f t="shared" si="44"/>
        <v>307.46499999999997</v>
      </c>
      <c r="P149" s="345">
        <f t="shared" si="44"/>
        <v>294.34558638608701</v>
      </c>
      <c r="Q149" s="345">
        <f t="shared" si="44"/>
        <v>0</v>
      </c>
      <c r="R149" s="345">
        <f t="shared" si="44"/>
        <v>641.89371875000006</v>
      </c>
      <c r="S149" s="345">
        <f t="shared" si="44"/>
        <v>567.91558027889334</v>
      </c>
      <c r="T149" s="345">
        <f t="shared" si="44"/>
        <v>0</v>
      </c>
      <c r="U149" s="103">
        <f t="shared" si="18"/>
        <v>4152.475774303869</v>
      </c>
      <c r="V149" s="8"/>
      <c r="W149" s="784"/>
      <c r="X149" s="8"/>
      <c r="Y149" s="17"/>
      <c r="Z149" s="286"/>
      <c r="AA149" s="751"/>
      <c r="AB149" s="100"/>
      <c r="AC149" s="17"/>
      <c r="AD149" s="17"/>
      <c r="AE149" s="742"/>
      <c r="AF149" s="17"/>
      <c r="AG149" s="745"/>
    </row>
    <row r="150" spans="1:33" ht="15.75" x14ac:dyDescent="0.25">
      <c r="A150" s="107">
        <v>2029</v>
      </c>
      <c r="B150" s="107"/>
      <c r="C150" s="267"/>
      <c r="D150" s="267"/>
      <c r="E150" s="267"/>
      <c r="F150" s="345">
        <f t="shared" ref="F150:T150" si="45">F33+F110</f>
        <v>2.8451612903225807</v>
      </c>
      <c r="G150" s="345">
        <f t="shared" si="45"/>
        <v>522.57476129032261</v>
      </c>
      <c r="H150" s="345">
        <f t="shared" si="45"/>
        <v>765.21582580645168</v>
      </c>
      <c r="I150" s="345">
        <f t="shared" si="45"/>
        <v>36.546774193548387</v>
      </c>
      <c r="J150" s="345">
        <f t="shared" si="45"/>
        <v>395.99999999999989</v>
      </c>
      <c r="K150" s="345">
        <f t="shared" si="45"/>
        <v>8.6428571428571441</v>
      </c>
      <c r="L150" s="345">
        <f t="shared" si="45"/>
        <v>58.928571428571416</v>
      </c>
      <c r="M150" s="345">
        <f t="shared" si="45"/>
        <v>19.047619047619051</v>
      </c>
      <c r="N150" s="345">
        <f t="shared" si="45"/>
        <v>441.71301075268821</v>
      </c>
      <c r="O150" s="345">
        <f t="shared" si="45"/>
        <v>307.46499999999997</v>
      </c>
      <c r="P150" s="345">
        <f t="shared" si="45"/>
        <v>292.70260973386758</v>
      </c>
      <c r="Q150" s="345">
        <f t="shared" si="45"/>
        <v>0</v>
      </c>
      <c r="R150" s="345">
        <f t="shared" si="45"/>
        <v>633.65911874999995</v>
      </c>
      <c r="S150" s="345">
        <f t="shared" si="45"/>
        <v>567.91558027889334</v>
      </c>
      <c r="T150" s="345">
        <f t="shared" si="45"/>
        <v>0</v>
      </c>
      <c r="U150" s="103">
        <f t="shared" si="18"/>
        <v>4053.2568897151418</v>
      </c>
      <c r="V150" s="8"/>
      <c r="W150" s="8"/>
      <c r="X150" s="8"/>
      <c r="Y150" s="17"/>
      <c r="Z150" s="286"/>
      <c r="AA150" s="751"/>
      <c r="AB150" s="100"/>
      <c r="AC150" s="17"/>
      <c r="AD150" s="17"/>
      <c r="AE150" s="742"/>
      <c r="AF150" s="17"/>
      <c r="AG150" s="17"/>
    </row>
    <row r="151" spans="1:33" ht="15.75" x14ac:dyDescent="0.25">
      <c r="A151" s="107">
        <v>2030</v>
      </c>
      <c r="B151" s="107"/>
      <c r="C151" s="267"/>
      <c r="D151" s="267"/>
      <c r="E151" s="267"/>
      <c r="F151" s="345">
        <f t="shared" ref="F151:T151" si="46">F34+F111</f>
        <v>1.8967741935483871</v>
      </c>
      <c r="G151" s="345">
        <f t="shared" si="46"/>
        <v>429.31397419354846</v>
      </c>
      <c r="H151" s="345">
        <f t="shared" si="46"/>
        <v>713.53408387096783</v>
      </c>
      <c r="I151" s="345">
        <f t="shared" si="46"/>
        <v>26.714516129032258</v>
      </c>
      <c r="J151" s="345">
        <f t="shared" si="46"/>
        <v>395.99999999999989</v>
      </c>
      <c r="K151" s="345">
        <f t="shared" si="46"/>
        <v>7.2023809523809526</v>
      </c>
      <c r="L151" s="345">
        <f t="shared" si="46"/>
        <v>49.107142857142854</v>
      </c>
      <c r="M151" s="345">
        <f t="shared" si="46"/>
        <v>15.873015873015877</v>
      </c>
      <c r="N151" s="345">
        <f t="shared" si="46"/>
        <v>375.41978494623663</v>
      </c>
      <c r="O151" s="345">
        <f t="shared" si="46"/>
        <v>307.46499999999997</v>
      </c>
      <c r="P151" s="345">
        <f t="shared" si="46"/>
        <v>291.05963308164775</v>
      </c>
      <c r="Q151" s="345">
        <f t="shared" si="46"/>
        <v>0</v>
      </c>
      <c r="R151" s="345">
        <f t="shared" si="46"/>
        <v>598.20034999999996</v>
      </c>
      <c r="S151" s="345">
        <f t="shared" si="46"/>
        <v>567.91558027889334</v>
      </c>
      <c r="T151" s="345">
        <f t="shared" si="46"/>
        <v>0</v>
      </c>
      <c r="U151" s="103">
        <f t="shared" si="18"/>
        <v>3779.7022363764145</v>
      </c>
      <c r="V151" s="8"/>
      <c r="W151" s="8"/>
      <c r="X151" s="8"/>
      <c r="Y151" s="17"/>
      <c r="Z151" s="286"/>
      <c r="AA151" s="751"/>
      <c r="AB151" s="100"/>
      <c r="AC151" s="17"/>
      <c r="AD151" s="17"/>
      <c r="AE151" s="742"/>
      <c r="AF151" s="17"/>
      <c r="AG151" s="17"/>
    </row>
    <row r="152" spans="1:33" ht="15.75" x14ac:dyDescent="0.25">
      <c r="A152" s="107">
        <v>2031</v>
      </c>
      <c r="B152" s="107"/>
      <c r="C152" s="267"/>
      <c r="D152" s="107"/>
      <c r="E152" s="267"/>
      <c r="F152" s="345">
        <f t="shared" ref="F152:T152" si="47">F35+F112</f>
        <v>0.89148387096774195</v>
      </c>
      <c r="G152" s="345">
        <f t="shared" si="47"/>
        <v>298.58148387096782</v>
      </c>
      <c r="H152" s="345">
        <f t="shared" si="47"/>
        <v>708.19407741935493</v>
      </c>
      <c r="I152" s="345">
        <f t="shared" si="47"/>
        <v>20.294322580645161</v>
      </c>
      <c r="J152" s="345">
        <f t="shared" si="47"/>
        <v>395.99999999999989</v>
      </c>
      <c r="K152" s="345">
        <f t="shared" si="47"/>
        <v>5.7619047619047619</v>
      </c>
      <c r="L152" s="345">
        <f t="shared" si="47"/>
        <v>39.285714285714285</v>
      </c>
      <c r="M152" s="345">
        <f t="shared" si="47"/>
        <v>12.698412698412703</v>
      </c>
      <c r="N152" s="345">
        <f t="shared" si="47"/>
        <v>264.67674336917571</v>
      </c>
      <c r="O152" s="345">
        <f t="shared" si="47"/>
        <v>203.29833333333332</v>
      </c>
      <c r="P152" s="345">
        <f t="shared" si="47"/>
        <v>291.05963308164775</v>
      </c>
      <c r="Q152" s="345">
        <f t="shared" si="47"/>
        <v>0</v>
      </c>
      <c r="R152" s="345">
        <f t="shared" si="47"/>
        <v>553.66849999999999</v>
      </c>
      <c r="S152" s="345">
        <f t="shared" si="47"/>
        <v>567.91558027889334</v>
      </c>
      <c r="T152" s="345">
        <f t="shared" si="47"/>
        <v>0</v>
      </c>
      <c r="U152" s="103">
        <f t="shared" si="18"/>
        <v>3362.3261895510173</v>
      </c>
      <c r="V152" s="8"/>
      <c r="W152" s="8"/>
      <c r="X152" s="8"/>
      <c r="Y152" s="17"/>
      <c r="Z152" s="286"/>
      <c r="AA152" s="751"/>
      <c r="AB152" s="100"/>
      <c r="AC152" s="17"/>
      <c r="AD152" s="17"/>
      <c r="AE152" s="742"/>
      <c r="AF152" s="17"/>
      <c r="AG152" s="17"/>
    </row>
    <row r="153" spans="1:33" ht="15.75" x14ac:dyDescent="0.25">
      <c r="A153" s="107">
        <v>2032</v>
      </c>
      <c r="B153" s="107"/>
      <c r="C153" s="267"/>
      <c r="D153" s="107"/>
      <c r="E153" s="267"/>
      <c r="F153" s="345">
        <f t="shared" ref="F153:T153" si="48">F36+F113</f>
        <v>0</v>
      </c>
      <c r="G153" s="345">
        <f t="shared" si="48"/>
        <v>205.54380000000003</v>
      </c>
      <c r="H153" s="345">
        <f t="shared" si="48"/>
        <v>373.51859999999999</v>
      </c>
      <c r="I153" s="345">
        <f t="shared" si="48"/>
        <v>14.07</v>
      </c>
      <c r="J153" s="345">
        <f t="shared" si="48"/>
        <v>395.99999999999989</v>
      </c>
      <c r="K153" s="345">
        <f t="shared" si="48"/>
        <v>4.3214285714285721</v>
      </c>
      <c r="L153" s="345">
        <f t="shared" si="48"/>
        <v>29.464285714285715</v>
      </c>
      <c r="M153" s="345">
        <f t="shared" si="48"/>
        <v>9.5238095238095291</v>
      </c>
      <c r="N153" s="345">
        <f t="shared" si="48"/>
        <v>161.88888888888894</v>
      </c>
      <c r="O153" s="345">
        <f t="shared" si="48"/>
        <v>99.131666666666618</v>
      </c>
      <c r="P153" s="345">
        <f t="shared" si="48"/>
        <v>291.05963308164775</v>
      </c>
      <c r="Q153" s="345">
        <f t="shared" si="48"/>
        <v>0</v>
      </c>
      <c r="R153" s="345">
        <f t="shared" si="48"/>
        <v>455.87523750000003</v>
      </c>
      <c r="S153" s="345">
        <f t="shared" si="48"/>
        <v>567.91558027889334</v>
      </c>
      <c r="T153" s="345">
        <f t="shared" si="48"/>
        <v>0</v>
      </c>
      <c r="U153" s="103">
        <f t="shared" si="18"/>
        <v>2608.3129302256202</v>
      </c>
      <c r="V153" s="8"/>
      <c r="W153" s="8"/>
      <c r="X153" s="8"/>
      <c r="Y153" s="17"/>
      <c r="Z153" s="286"/>
      <c r="AA153" s="751"/>
      <c r="AB153" s="100"/>
      <c r="AC153" s="17"/>
      <c r="AD153" s="17"/>
      <c r="AE153" s="742"/>
      <c r="AF153" s="17"/>
      <c r="AG153" s="17"/>
    </row>
    <row r="154" spans="1:33" ht="15.75" x14ac:dyDescent="0.25">
      <c r="A154" s="107">
        <v>2033</v>
      </c>
      <c r="B154" s="107"/>
      <c r="C154" s="267"/>
      <c r="D154" s="107"/>
      <c r="E154" s="267"/>
      <c r="F154" s="345">
        <f t="shared" ref="F154:T154" si="49">F37+F114</f>
        <v>0</v>
      </c>
      <c r="G154" s="345">
        <f t="shared" si="49"/>
        <v>137.02920000000003</v>
      </c>
      <c r="H154" s="345">
        <f t="shared" si="49"/>
        <v>373.51859999999999</v>
      </c>
      <c r="I154" s="345">
        <f t="shared" si="49"/>
        <v>9.3800000000000008</v>
      </c>
      <c r="J154" s="345">
        <f t="shared" si="49"/>
        <v>395.99999999999989</v>
      </c>
      <c r="K154" s="345">
        <f t="shared" si="49"/>
        <v>2.8809523809523814</v>
      </c>
      <c r="L154" s="345">
        <f t="shared" si="49"/>
        <v>19.642857142857149</v>
      </c>
      <c r="M154" s="345">
        <f t="shared" si="49"/>
        <v>6.3492063492063542</v>
      </c>
      <c r="N154" s="345">
        <f t="shared" si="49"/>
        <v>121.41666666666671</v>
      </c>
      <c r="O154" s="345">
        <f t="shared" si="49"/>
        <v>-5.0350000000000783</v>
      </c>
      <c r="P154" s="345">
        <f t="shared" si="49"/>
        <v>291.05963308164775</v>
      </c>
      <c r="Q154" s="345">
        <f t="shared" si="49"/>
        <v>0</v>
      </c>
      <c r="R154" s="345">
        <f t="shared" si="49"/>
        <v>415.704475</v>
      </c>
      <c r="S154" s="345">
        <f t="shared" si="49"/>
        <v>567.91558027889334</v>
      </c>
      <c r="T154" s="345">
        <f t="shared" si="49"/>
        <v>0</v>
      </c>
      <c r="U154" s="103">
        <f t="shared" si="18"/>
        <v>2335.8621709002236</v>
      </c>
      <c r="V154" s="8"/>
      <c r="W154" s="8"/>
      <c r="X154" s="8"/>
      <c r="Y154" s="17"/>
      <c r="Z154" s="286"/>
      <c r="AA154" s="751"/>
      <c r="AB154" s="100"/>
      <c r="AC154" s="17"/>
      <c r="AD154" s="17"/>
      <c r="AE154" s="742"/>
      <c r="AF154" s="17"/>
      <c r="AG154" s="17"/>
    </row>
    <row r="155" spans="1:33" ht="15.75" x14ac:dyDescent="0.25">
      <c r="A155" s="107">
        <v>2034</v>
      </c>
      <c r="B155" s="107"/>
      <c r="C155" s="267"/>
      <c r="D155" s="107"/>
      <c r="E155" s="267"/>
      <c r="F155" s="345">
        <f t="shared" ref="F155:T155" si="50">F38+F115</f>
        <v>0</v>
      </c>
      <c r="G155" s="345">
        <f t="shared" si="50"/>
        <v>68.514600000000016</v>
      </c>
      <c r="H155" s="345">
        <f t="shared" si="50"/>
        <v>373.51859999999999</v>
      </c>
      <c r="I155" s="345">
        <f t="shared" si="50"/>
        <v>4.6900000000000004</v>
      </c>
      <c r="J155" s="345">
        <f t="shared" si="50"/>
        <v>395.99999999999989</v>
      </c>
      <c r="K155" s="345">
        <f t="shared" si="50"/>
        <v>1.4404761904761909</v>
      </c>
      <c r="L155" s="345">
        <f t="shared" si="50"/>
        <v>9.8214285714285783</v>
      </c>
      <c r="M155" s="345">
        <f t="shared" si="50"/>
        <v>3.1746031746031798</v>
      </c>
      <c r="N155" s="345">
        <f t="shared" si="50"/>
        <v>80.9444444444445</v>
      </c>
      <c r="O155" s="345">
        <f t="shared" si="50"/>
        <v>0</v>
      </c>
      <c r="P155" s="345">
        <f t="shared" si="50"/>
        <v>291.05963308164775</v>
      </c>
      <c r="Q155" s="345">
        <f t="shared" si="50"/>
        <v>0</v>
      </c>
      <c r="R155" s="345">
        <f t="shared" si="50"/>
        <v>375.53371249999998</v>
      </c>
      <c r="S155" s="345">
        <f t="shared" si="50"/>
        <v>567.91558027889334</v>
      </c>
      <c r="T155" s="345">
        <f t="shared" si="50"/>
        <v>0</v>
      </c>
      <c r="U155" s="103">
        <f t="shared" si="18"/>
        <v>2172.613078241493</v>
      </c>
      <c r="V155" s="8"/>
      <c r="W155" s="8"/>
      <c r="X155" s="8"/>
      <c r="Y155" s="17"/>
      <c r="Z155" s="286"/>
      <c r="AA155" s="751"/>
      <c r="AB155" s="100"/>
      <c r="AC155" s="17"/>
      <c r="AD155" s="17"/>
      <c r="AE155" s="742"/>
      <c r="AF155" s="17"/>
      <c r="AG155" s="17"/>
    </row>
    <row r="156" spans="1:33" ht="15.75" x14ac:dyDescent="0.25">
      <c r="A156" s="107">
        <v>2035</v>
      </c>
      <c r="B156" s="107"/>
      <c r="C156" s="267"/>
      <c r="D156" s="107"/>
      <c r="E156" s="267"/>
      <c r="F156" s="345">
        <f t="shared" ref="F156:T156" si="51">F39+F116</f>
        <v>0</v>
      </c>
      <c r="G156" s="345">
        <f t="shared" si="51"/>
        <v>0</v>
      </c>
      <c r="H156" s="345">
        <f t="shared" si="51"/>
        <v>181.20959999999999</v>
      </c>
      <c r="I156" s="345">
        <f t="shared" si="51"/>
        <v>0</v>
      </c>
      <c r="J156" s="345">
        <f t="shared" si="51"/>
        <v>395.99999999999989</v>
      </c>
      <c r="K156" s="345">
        <f t="shared" si="51"/>
        <v>0</v>
      </c>
      <c r="L156" s="345">
        <f t="shared" si="51"/>
        <v>0</v>
      </c>
      <c r="M156" s="345">
        <f t="shared" si="51"/>
        <v>4.9343245538895852E-15</v>
      </c>
      <c r="N156" s="345">
        <f t="shared" si="51"/>
        <v>0</v>
      </c>
      <c r="O156" s="345">
        <f t="shared" si="51"/>
        <v>0</v>
      </c>
      <c r="P156" s="345">
        <f t="shared" si="51"/>
        <v>291.05963308164775</v>
      </c>
      <c r="Q156" s="345">
        <f t="shared" si="51"/>
        <v>0</v>
      </c>
      <c r="R156" s="345">
        <f t="shared" si="51"/>
        <v>202.83120000000002</v>
      </c>
      <c r="S156" s="345">
        <f t="shared" si="51"/>
        <v>567.91558027889334</v>
      </c>
      <c r="T156" s="345">
        <f t="shared" si="51"/>
        <v>0</v>
      </c>
      <c r="U156" s="103">
        <f t="shared" si="18"/>
        <v>1639.0160133605409</v>
      </c>
      <c r="V156" s="8"/>
      <c r="W156" s="8"/>
      <c r="X156" s="8"/>
      <c r="Y156" s="17"/>
      <c r="Z156" s="286"/>
      <c r="AA156" s="751"/>
      <c r="AB156" s="100"/>
      <c r="AC156" s="17"/>
      <c r="AD156" s="17"/>
      <c r="AE156" s="742"/>
      <c r="AF156" s="17"/>
      <c r="AG156" s="17"/>
    </row>
    <row r="157" spans="1:33" ht="15.75" x14ac:dyDescent="0.25">
      <c r="A157" s="107">
        <v>2036</v>
      </c>
      <c r="B157" s="107"/>
      <c r="C157" s="107"/>
      <c r="D157" s="107"/>
      <c r="E157" s="107"/>
      <c r="F157" s="345">
        <f t="shared" ref="F157:T157" si="52">F40+F117</f>
        <v>0</v>
      </c>
      <c r="G157" s="345">
        <f t="shared" si="52"/>
        <v>0</v>
      </c>
      <c r="H157" s="345">
        <f t="shared" si="52"/>
        <v>120.80640000000001</v>
      </c>
      <c r="I157" s="345">
        <f t="shared" si="52"/>
        <v>0</v>
      </c>
      <c r="J157" s="345">
        <f t="shared" si="52"/>
        <v>0</v>
      </c>
      <c r="K157" s="345">
        <f t="shared" si="52"/>
        <v>0</v>
      </c>
      <c r="L157" s="345">
        <f t="shared" si="52"/>
        <v>0</v>
      </c>
      <c r="M157" s="345">
        <f t="shared" si="52"/>
        <v>0</v>
      </c>
      <c r="N157" s="345">
        <f t="shared" si="52"/>
        <v>0</v>
      </c>
      <c r="O157" s="345">
        <f t="shared" si="52"/>
        <v>0</v>
      </c>
      <c r="P157" s="345">
        <f t="shared" si="52"/>
        <v>0</v>
      </c>
      <c r="Q157" s="345">
        <f t="shared" si="52"/>
        <v>0</v>
      </c>
      <c r="R157" s="345">
        <f t="shared" si="52"/>
        <v>0</v>
      </c>
      <c r="S157" s="345">
        <f t="shared" si="52"/>
        <v>0</v>
      </c>
      <c r="T157" s="345">
        <f t="shared" si="52"/>
        <v>0</v>
      </c>
      <c r="U157" s="103">
        <f t="shared" si="18"/>
        <v>120.80640000000001</v>
      </c>
      <c r="V157" s="8"/>
      <c r="W157" s="8"/>
      <c r="X157" s="8"/>
      <c r="Y157" s="17"/>
      <c r="Z157" s="286"/>
      <c r="AA157" s="751"/>
      <c r="AB157" s="100"/>
      <c r="AC157" s="17"/>
      <c r="AD157" s="17"/>
      <c r="AE157" s="742"/>
      <c r="AF157" s="17"/>
      <c r="AG157" s="17"/>
    </row>
    <row r="158" spans="1:33" ht="15.75" x14ac:dyDescent="0.25">
      <c r="A158" s="107">
        <v>2037</v>
      </c>
      <c r="B158" s="107"/>
      <c r="C158" s="107"/>
      <c r="D158" s="107"/>
      <c r="E158" s="107"/>
      <c r="F158" s="345">
        <f t="shared" ref="F158:T158" si="53">F41+F118</f>
        <v>0</v>
      </c>
      <c r="G158" s="345">
        <f t="shared" si="53"/>
        <v>0</v>
      </c>
      <c r="H158" s="345">
        <f t="shared" si="53"/>
        <v>60.403200000000005</v>
      </c>
      <c r="I158" s="345">
        <f t="shared" si="53"/>
        <v>0</v>
      </c>
      <c r="J158" s="345">
        <f t="shared" si="53"/>
        <v>0</v>
      </c>
      <c r="K158" s="345">
        <f t="shared" si="53"/>
        <v>0</v>
      </c>
      <c r="L158" s="345">
        <f t="shared" si="53"/>
        <v>0</v>
      </c>
      <c r="M158" s="345">
        <f t="shared" si="53"/>
        <v>0</v>
      </c>
      <c r="N158" s="345">
        <f t="shared" si="53"/>
        <v>0</v>
      </c>
      <c r="O158" s="345">
        <f t="shared" si="53"/>
        <v>0</v>
      </c>
      <c r="P158" s="345">
        <f t="shared" si="53"/>
        <v>0</v>
      </c>
      <c r="Q158" s="345">
        <f t="shared" si="53"/>
        <v>0</v>
      </c>
      <c r="R158" s="345">
        <f t="shared" si="53"/>
        <v>0</v>
      </c>
      <c r="S158" s="345">
        <f t="shared" si="53"/>
        <v>0</v>
      </c>
      <c r="T158" s="345">
        <f t="shared" si="53"/>
        <v>0</v>
      </c>
      <c r="U158" s="103">
        <f t="shared" si="18"/>
        <v>60.403200000000005</v>
      </c>
      <c r="V158" s="8"/>
      <c r="W158" s="8"/>
      <c r="X158" s="8"/>
      <c r="Y158" s="17"/>
      <c r="Z158" s="286"/>
      <c r="AA158" s="751"/>
      <c r="AB158" s="100"/>
      <c r="AC158" s="17"/>
      <c r="AD158" s="17"/>
      <c r="AE158" s="742"/>
      <c r="AF158" s="17"/>
      <c r="AG158" s="17"/>
    </row>
    <row r="159" spans="1:33" ht="15.75" x14ac:dyDescent="0.25">
      <c r="A159" s="933" t="s">
        <v>16</v>
      </c>
      <c r="B159" s="934">
        <f>SUM(B124:B157)</f>
        <v>0</v>
      </c>
      <c r="C159" s="934">
        <f>SUM(C124:C157)</f>
        <v>0</v>
      </c>
      <c r="D159" s="934">
        <f>SUM(D124:D157)</f>
        <v>0</v>
      </c>
      <c r="E159" s="934"/>
      <c r="F159" s="935">
        <f t="shared" ref="F159:U159" si="54">SUM(F123:F158)</f>
        <v>146.9985774193548</v>
      </c>
      <c r="G159" s="935">
        <f t="shared" si="54"/>
        <v>11672.696867419358</v>
      </c>
      <c r="H159" s="935">
        <f t="shared" si="54"/>
        <v>12032.381443387096</v>
      </c>
      <c r="I159" s="935">
        <f t="shared" si="54"/>
        <v>784.8475516129032</v>
      </c>
      <c r="J159" s="935">
        <f t="shared" si="54"/>
        <v>7902.1259315963698</v>
      </c>
      <c r="K159" s="935">
        <f t="shared" si="54"/>
        <v>151.25000000000003</v>
      </c>
      <c r="L159" s="935">
        <f t="shared" si="54"/>
        <v>1031.25</v>
      </c>
      <c r="M159" s="935">
        <f t="shared" si="54"/>
        <v>333.33333333333337</v>
      </c>
      <c r="N159" s="935">
        <f t="shared" si="54"/>
        <v>18203.545004605738</v>
      </c>
      <c r="O159" s="935">
        <f t="shared" si="54"/>
        <v>4601.9049999999997</v>
      </c>
      <c r="P159" s="935">
        <f t="shared" si="54"/>
        <v>6242.7425557466513</v>
      </c>
      <c r="Q159" s="935">
        <f>SUM(Q123:Q158)</f>
        <v>7571.68</v>
      </c>
      <c r="R159" s="935">
        <f t="shared" si="54"/>
        <v>19153.109581249999</v>
      </c>
      <c r="S159" s="935">
        <f t="shared" si="54"/>
        <v>15567.967414601571</v>
      </c>
      <c r="T159" s="935">
        <f t="shared" si="54"/>
        <v>1833.9179999999978</v>
      </c>
      <c r="U159" s="936">
        <f t="shared" si="54"/>
        <v>107229.75126097236</v>
      </c>
      <c r="V159" s="8"/>
      <c r="W159" s="8"/>
      <c r="X159" s="276"/>
      <c r="Y159" s="276"/>
      <c r="Z159" s="276"/>
      <c r="AA159" s="276"/>
      <c r="AB159" s="787"/>
      <c r="AC159" s="17"/>
      <c r="AD159" s="741"/>
      <c r="AE159" s="742"/>
      <c r="AF159" s="17"/>
      <c r="AG159" s="17"/>
    </row>
    <row r="160" spans="1:33" ht="15.75" x14ac:dyDescent="0.25">
      <c r="A160" s="77"/>
      <c r="B160" s="268"/>
      <c r="C160" s="268"/>
      <c r="D160" s="268"/>
      <c r="E160" s="268"/>
      <c r="F160" s="108"/>
      <c r="G160" s="109"/>
      <c r="H160" s="109"/>
      <c r="I160" s="276"/>
      <c r="J160" s="276"/>
      <c r="K160" s="109"/>
      <c r="L160" s="109"/>
      <c r="M160" s="109"/>
      <c r="N160" s="276"/>
      <c r="O160" s="276"/>
      <c r="P160" s="276"/>
      <c r="Q160" s="109"/>
      <c r="R160" s="108"/>
      <c r="S160" s="108"/>
      <c r="T160" s="108"/>
      <c r="U160" s="77"/>
      <c r="V160" s="15"/>
      <c r="W160" s="8"/>
      <c r="X160" s="17"/>
      <c r="Y160" s="17"/>
      <c r="Z160" s="743"/>
      <c r="AA160" s="751"/>
      <c r="AB160" s="743"/>
      <c r="AC160" s="17"/>
      <c r="AD160" s="286"/>
      <c r="AE160" s="742"/>
      <c r="AF160" s="17"/>
      <c r="AG160" s="17"/>
    </row>
    <row r="161" spans="1:35" ht="15.75" x14ac:dyDescent="0.25">
      <c r="A161" s="77"/>
      <c r="B161" s="268"/>
      <c r="C161" s="268"/>
      <c r="D161" s="268"/>
      <c r="E161" s="268"/>
      <c r="F161" s="108"/>
      <c r="G161" s="109"/>
      <c r="H161" s="109"/>
      <c r="I161" s="276"/>
      <c r="J161" s="276"/>
      <c r="K161" s="109"/>
      <c r="L161" s="109"/>
      <c r="M161" s="109"/>
      <c r="N161" s="276"/>
      <c r="O161" s="276"/>
      <c r="P161" s="276"/>
      <c r="Q161" s="109"/>
      <c r="R161" s="108"/>
      <c r="S161" s="108"/>
      <c r="T161" s="108"/>
      <c r="U161" s="77"/>
      <c r="V161" s="15"/>
      <c r="W161" s="8"/>
      <c r="X161" s="17"/>
      <c r="Y161" s="17"/>
      <c r="Z161" s="743"/>
      <c r="AA161" s="751"/>
      <c r="AB161" s="743"/>
      <c r="AC161" s="17"/>
      <c r="AD161" s="286"/>
      <c r="AE161" s="742"/>
      <c r="AF161" s="17"/>
      <c r="AG161" s="17"/>
    </row>
    <row r="162" spans="1:35" ht="15.75" x14ac:dyDescent="0.25">
      <c r="A162" s="78"/>
      <c r="B162" s="78"/>
      <c r="C162" s="77"/>
      <c r="D162" s="77"/>
      <c r="E162" s="108"/>
      <c r="F162" s="276"/>
      <c r="G162" s="276"/>
      <c r="H162" s="272"/>
      <c r="I162" s="272"/>
      <c r="J162" s="17"/>
      <c r="K162" s="17"/>
      <c r="L162" s="17"/>
      <c r="M162" s="275"/>
      <c r="N162" s="275"/>
      <c r="O162" s="275"/>
      <c r="P162" s="17"/>
      <c r="Q162" s="276"/>
      <c r="R162" s="276"/>
      <c r="S162" s="276"/>
      <c r="T162" s="277"/>
      <c r="U162" s="15"/>
      <c r="V162" s="15"/>
      <c r="W162" s="15"/>
      <c r="AI162" s="298"/>
    </row>
    <row r="163" spans="1:35" ht="21" x14ac:dyDescent="0.35">
      <c r="A163" s="288" t="s">
        <v>291</v>
      </c>
      <c r="B163" s="278"/>
      <c r="C163" s="279"/>
      <c r="D163" s="279"/>
      <c r="E163" s="280"/>
      <c r="F163" s="281"/>
      <c r="G163" s="281"/>
      <c r="H163" s="282"/>
      <c r="I163" s="282"/>
      <c r="J163" s="21"/>
      <c r="K163" s="21"/>
      <c r="L163" s="21"/>
      <c r="M163" s="283"/>
      <c r="N163" s="283"/>
      <c r="O163" s="283"/>
      <c r="P163" s="21"/>
      <c r="Q163" s="281"/>
      <c r="R163" s="281"/>
      <c r="S163" s="281"/>
      <c r="T163" s="284"/>
      <c r="U163" s="284"/>
      <c r="V163" s="284"/>
      <c r="W163" s="284"/>
      <c r="X163" s="284"/>
      <c r="Y163" s="284"/>
      <c r="Z163" s="284"/>
      <c r="AA163" s="284"/>
      <c r="AB163" s="284"/>
      <c r="AC163" s="284"/>
      <c r="AE163"/>
    </row>
    <row r="164" spans="1:35" ht="15.75" x14ac:dyDescent="0.25">
      <c r="A164" s="575"/>
      <c r="B164" s="575"/>
      <c r="C164" s="810"/>
      <c r="D164" s="810"/>
      <c r="E164" s="811"/>
      <c r="F164" s="550"/>
      <c r="G164" s="550"/>
      <c r="H164" s="812"/>
      <c r="I164" s="812"/>
      <c r="J164" s="19"/>
      <c r="K164" s="19"/>
      <c r="L164" s="19"/>
      <c r="M164" s="813"/>
      <c r="N164" s="813"/>
      <c r="O164" s="813"/>
      <c r="P164" s="19"/>
      <c r="Q164" s="550"/>
      <c r="R164" s="550"/>
      <c r="S164" s="550"/>
      <c r="T164" s="579"/>
      <c r="U164" s="580"/>
      <c r="V164" s="580"/>
      <c r="W164" s="580"/>
      <c r="X164" s="311"/>
      <c r="Y164" s="311"/>
      <c r="Z164" s="311"/>
      <c r="AA164" s="311"/>
      <c r="AB164" s="311"/>
      <c r="AC164" s="311"/>
    </row>
    <row r="165" spans="1:35" x14ac:dyDescent="0.25">
      <c r="A165" s="311"/>
      <c r="B165" s="311"/>
      <c r="C165" s="311"/>
      <c r="D165" s="311"/>
      <c r="E165" s="311"/>
      <c r="F165" s="311"/>
      <c r="G165" s="311"/>
      <c r="H165" s="311"/>
      <c r="I165" s="311"/>
      <c r="J165" s="311"/>
      <c r="K165" s="311"/>
      <c r="L165" s="311"/>
      <c r="M165" s="311"/>
      <c r="N165" s="311"/>
      <c r="O165" s="311"/>
      <c r="P165" s="311"/>
      <c r="Q165" s="311"/>
      <c r="R165" s="311"/>
      <c r="S165" s="311"/>
      <c r="T165" s="311"/>
      <c r="U165" s="311"/>
      <c r="V165" s="311"/>
      <c r="W165" s="311"/>
      <c r="X165" s="311"/>
      <c r="Y165" s="311"/>
      <c r="Z165" s="311"/>
      <c r="AA165" s="311"/>
      <c r="AB165" s="311"/>
      <c r="AC165" s="311"/>
    </row>
    <row r="166" spans="1:35" x14ac:dyDescent="0.25">
      <c r="A166" s="311"/>
      <c r="B166" s="311"/>
      <c r="C166" s="311"/>
      <c r="D166" s="311"/>
      <c r="E166" s="311"/>
      <c r="F166" s="311"/>
      <c r="G166" s="311"/>
      <c r="H166" s="311"/>
      <c r="I166" s="311"/>
      <c r="J166" s="311"/>
      <c r="K166" s="311"/>
      <c r="L166" s="311"/>
      <c r="M166" s="311"/>
      <c r="N166" s="311"/>
      <c r="O166" s="311"/>
      <c r="P166" s="311"/>
      <c r="Q166" s="311"/>
      <c r="R166" s="311"/>
      <c r="S166" s="311"/>
      <c r="T166" s="311"/>
      <c r="U166" s="311"/>
      <c r="V166" s="311"/>
      <c r="W166" s="311"/>
      <c r="X166" s="311"/>
      <c r="Y166" s="311"/>
      <c r="Z166" s="311"/>
      <c r="AA166" s="311"/>
      <c r="AB166" s="311"/>
      <c r="AC166" s="311"/>
    </row>
    <row r="167" spans="1:35" x14ac:dyDescent="0.25">
      <c r="A167" s="311"/>
      <c r="B167" s="311"/>
      <c r="C167" s="311"/>
      <c r="D167" s="311"/>
      <c r="E167" s="311"/>
      <c r="F167" s="311"/>
      <c r="G167" s="311"/>
      <c r="H167" s="311"/>
      <c r="I167" s="311"/>
      <c r="J167" s="311"/>
      <c r="K167" s="311"/>
      <c r="L167" s="311"/>
      <c r="M167" s="311"/>
      <c r="N167" s="311"/>
      <c r="O167" s="311"/>
      <c r="P167" s="311"/>
      <c r="Q167" s="311"/>
      <c r="R167" s="311"/>
      <c r="S167" s="311"/>
      <c r="T167" s="311"/>
      <c r="U167" s="311"/>
      <c r="V167" s="311"/>
      <c r="W167" s="311"/>
      <c r="X167" s="311"/>
      <c r="Y167" s="311"/>
      <c r="Z167" s="311"/>
      <c r="AA167" s="311"/>
      <c r="AB167" s="311"/>
      <c r="AC167" s="311"/>
    </row>
    <row r="168" spans="1:35" x14ac:dyDescent="0.25">
      <c r="A168" s="311"/>
      <c r="B168" s="311"/>
      <c r="C168" s="311"/>
      <c r="D168" s="311"/>
      <c r="E168" s="311"/>
      <c r="F168" s="311"/>
      <c r="G168" s="311"/>
      <c r="H168" s="311"/>
      <c r="I168" s="311"/>
      <c r="J168" s="311"/>
      <c r="K168" s="311"/>
      <c r="L168" s="311"/>
      <c r="M168" s="311"/>
      <c r="N168" s="311"/>
      <c r="O168" s="311"/>
      <c r="P168" s="311"/>
      <c r="Q168" s="311"/>
      <c r="R168" s="311"/>
      <c r="S168" s="311"/>
      <c r="T168" s="311"/>
      <c r="U168" s="311"/>
      <c r="V168" s="311"/>
      <c r="W168" s="311"/>
      <c r="X168" s="311"/>
      <c r="Y168" s="311"/>
      <c r="Z168" s="311"/>
      <c r="AA168" s="311"/>
      <c r="AB168" s="311"/>
      <c r="AC168" s="311"/>
    </row>
    <row r="169" spans="1:35" x14ac:dyDescent="0.25">
      <c r="A169" s="311"/>
      <c r="B169" s="311"/>
      <c r="C169" s="311"/>
      <c r="D169" s="311"/>
      <c r="E169" s="311"/>
      <c r="F169" s="311"/>
      <c r="G169" s="311"/>
      <c r="H169" s="311"/>
      <c r="I169" s="311"/>
      <c r="J169" s="311"/>
      <c r="K169" s="311"/>
      <c r="L169" s="311"/>
      <c r="M169" s="311"/>
      <c r="N169" s="311"/>
      <c r="O169" s="311"/>
      <c r="P169" s="311"/>
      <c r="Q169" s="311"/>
      <c r="R169" s="311"/>
      <c r="S169" s="311"/>
      <c r="T169" s="311"/>
      <c r="U169" s="311"/>
      <c r="V169" s="311"/>
      <c r="W169" s="311"/>
      <c r="X169" s="311"/>
      <c r="Y169" s="311"/>
      <c r="Z169" s="311"/>
      <c r="AA169" s="311"/>
      <c r="AB169" s="311"/>
      <c r="AC169" s="311"/>
    </row>
    <row r="170" spans="1:35" x14ac:dyDescent="0.25">
      <c r="A170" s="311"/>
      <c r="B170" s="311"/>
      <c r="C170" s="311"/>
      <c r="D170" s="311"/>
      <c r="E170" s="311"/>
      <c r="F170" s="311"/>
      <c r="G170" s="311"/>
      <c r="H170" s="311"/>
      <c r="I170" s="311"/>
      <c r="J170" s="311"/>
      <c r="K170" s="311"/>
      <c r="L170" s="311"/>
      <c r="M170" s="311"/>
      <c r="N170" s="311"/>
      <c r="O170" s="311"/>
      <c r="P170" s="311"/>
      <c r="Q170" s="311"/>
      <c r="R170" s="311"/>
      <c r="S170" s="311"/>
      <c r="T170" s="311"/>
      <c r="U170" s="311"/>
      <c r="V170" s="311"/>
      <c r="W170" s="311"/>
      <c r="X170" s="311"/>
      <c r="Y170" s="311"/>
      <c r="Z170" s="311"/>
      <c r="AA170" s="311"/>
      <c r="AB170" s="311"/>
      <c r="AC170" s="311"/>
    </row>
    <row r="171" spans="1:35" x14ac:dyDescent="0.25">
      <c r="A171" s="311"/>
      <c r="B171" s="311"/>
      <c r="C171" s="311"/>
      <c r="D171" s="311"/>
      <c r="E171" s="311"/>
      <c r="F171" s="311"/>
      <c r="G171" s="311"/>
      <c r="H171" s="311"/>
      <c r="I171" s="311"/>
      <c r="J171" s="311"/>
      <c r="K171" s="311"/>
      <c r="L171" s="311"/>
      <c r="M171" s="311"/>
      <c r="N171" s="311"/>
      <c r="O171" s="311"/>
      <c r="P171" s="311"/>
      <c r="Q171" s="311"/>
      <c r="R171" s="311"/>
      <c r="S171" s="311"/>
      <c r="T171" s="311"/>
      <c r="U171" s="311"/>
      <c r="V171" s="311"/>
      <c r="W171" s="311"/>
      <c r="X171" s="311"/>
      <c r="Y171" s="311"/>
      <c r="Z171" s="311"/>
      <c r="AA171" s="311"/>
      <c r="AB171" s="311"/>
      <c r="AC171" s="311"/>
    </row>
    <row r="172" spans="1:35" x14ac:dyDescent="0.25">
      <c r="A172" s="311"/>
      <c r="B172" s="311"/>
      <c r="C172" s="311"/>
      <c r="D172" s="311"/>
      <c r="E172" s="311"/>
      <c r="F172" s="311"/>
      <c r="G172" s="311"/>
      <c r="H172" s="311"/>
      <c r="I172" s="311"/>
      <c r="J172" s="311"/>
      <c r="K172" s="311"/>
      <c r="L172" s="311"/>
      <c r="M172" s="311"/>
      <c r="N172" s="311"/>
      <c r="O172" s="311"/>
      <c r="P172" s="311"/>
      <c r="Q172" s="311"/>
      <c r="R172" s="311"/>
      <c r="S172" s="311"/>
      <c r="T172" s="311"/>
      <c r="U172" s="311"/>
      <c r="V172" s="311"/>
      <c r="W172" s="311"/>
      <c r="X172" s="311"/>
      <c r="Y172" s="311"/>
      <c r="Z172" s="311"/>
      <c r="AA172" s="311"/>
      <c r="AB172" s="311"/>
      <c r="AC172" s="311"/>
    </row>
    <row r="173" spans="1:35" x14ac:dyDescent="0.25">
      <c r="A173" s="311"/>
      <c r="B173" s="311"/>
      <c r="C173" s="311"/>
      <c r="D173" s="311"/>
      <c r="E173" s="311"/>
      <c r="F173" s="311"/>
      <c r="G173" s="311"/>
      <c r="H173" s="311"/>
      <c r="I173" s="311"/>
      <c r="J173" s="311"/>
      <c r="K173" s="311"/>
      <c r="L173" s="311"/>
      <c r="M173" s="311"/>
      <c r="N173" s="311"/>
      <c r="O173" s="311"/>
      <c r="P173" s="311"/>
      <c r="Q173" s="311"/>
      <c r="R173" s="311"/>
      <c r="S173" s="311"/>
      <c r="T173" s="311"/>
      <c r="U173" s="311"/>
      <c r="V173" s="311"/>
      <c r="W173" s="311"/>
      <c r="X173" s="311"/>
      <c r="Y173" s="311"/>
      <c r="Z173" s="311"/>
      <c r="AA173" s="311"/>
      <c r="AB173" s="311"/>
      <c r="AC173" s="311"/>
    </row>
    <row r="174" spans="1:35" x14ac:dyDescent="0.25">
      <c r="A174" s="311"/>
      <c r="B174" s="311"/>
      <c r="C174" s="311"/>
      <c r="D174" s="311"/>
      <c r="E174" s="311"/>
      <c r="F174" s="311"/>
      <c r="G174" s="311"/>
      <c r="H174" s="311"/>
      <c r="I174" s="311"/>
      <c r="J174" s="311"/>
      <c r="K174" s="311"/>
      <c r="L174" s="311"/>
      <c r="M174" s="311"/>
      <c r="N174" s="311"/>
      <c r="O174" s="311"/>
      <c r="P174" s="311"/>
      <c r="Q174" s="311"/>
      <c r="R174" s="311"/>
      <c r="S174" s="311"/>
      <c r="T174" s="311"/>
      <c r="U174" s="311"/>
      <c r="V174" s="311"/>
      <c r="W174" s="311"/>
      <c r="X174" s="311"/>
      <c r="Y174" s="311"/>
      <c r="Z174" s="311"/>
      <c r="AA174" s="311"/>
      <c r="AB174" s="311"/>
      <c r="AC174" s="311"/>
    </row>
    <row r="175" spans="1:35" x14ac:dyDescent="0.25">
      <c r="A175" s="311"/>
      <c r="B175" s="311"/>
      <c r="C175" s="311"/>
      <c r="D175" s="311"/>
      <c r="E175" s="311"/>
      <c r="F175" s="311"/>
      <c r="G175" s="311"/>
      <c r="H175" s="311"/>
      <c r="I175" s="311"/>
      <c r="J175" s="311"/>
      <c r="K175" s="311"/>
      <c r="L175" s="311"/>
      <c r="M175" s="311"/>
      <c r="N175" s="311"/>
      <c r="O175" s="311"/>
      <c r="P175" s="311"/>
      <c r="Q175" s="311"/>
      <c r="R175" s="311"/>
      <c r="S175" s="311"/>
      <c r="T175" s="311"/>
      <c r="U175" s="311"/>
      <c r="V175" s="311"/>
      <c r="W175" s="311"/>
      <c r="X175" s="311"/>
      <c r="Y175" s="311"/>
      <c r="Z175" s="311"/>
      <c r="AA175" s="311"/>
      <c r="AB175" s="311"/>
      <c r="AC175" s="311"/>
    </row>
    <row r="176" spans="1:35" x14ac:dyDescent="0.25">
      <c r="A176" s="311"/>
      <c r="B176" s="311"/>
      <c r="C176" s="311"/>
      <c r="D176" s="311"/>
      <c r="E176" s="311"/>
      <c r="F176" s="311"/>
      <c r="G176" s="311"/>
      <c r="H176" s="311"/>
      <c r="I176" s="311"/>
      <c r="J176" s="311"/>
      <c r="K176" s="311"/>
      <c r="L176" s="311"/>
      <c r="M176" s="311"/>
      <c r="N176" s="311"/>
      <c r="O176" s="311"/>
      <c r="P176" s="311"/>
      <c r="Q176" s="311"/>
      <c r="R176" s="311"/>
      <c r="S176" s="311"/>
      <c r="T176" s="311"/>
      <c r="U176" s="311"/>
      <c r="V176" s="311"/>
      <c r="W176" s="311"/>
      <c r="X176" s="311"/>
      <c r="Y176" s="311"/>
      <c r="Z176" s="311"/>
      <c r="AA176" s="311"/>
      <c r="AB176" s="311"/>
      <c r="AC176" s="311"/>
    </row>
    <row r="177" spans="1:29" x14ac:dyDescent="0.25">
      <c r="A177" s="311"/>
      <c r="B177" s="311"/>
      <c r="C177" s="311"/>
      <c r="D177" s="311"/>
      <c r="E177" s="311"/>
      <c r="F177" s="311"/>
      <c r="G177" s="311"/>
      <c r="H177" s="311"/>
      <c r="I177" s="311"/>
      <c r="J177" s="311"/>
      <c r="K177" s="311"/>
      <c r="L177" s="311"/>
      <c r="M177" s="311"/>
      <c r="N177" s="311"/>
      <c r="O177" s="311"/>
      <c r="P177" s="311"/>
      <c r="Q177" s="311"/>
      <c r="R177" s="311"/>
      <c r="S177" s="311"/>
      <c r="T177" s="311"/>
      <c r="U177" s="311"/>
      <c r="V177" s="311"/>
      <c r="W177" s="311"/>
      <c r="X177" s="311"/>
      <c r="Y177" s="311"/>
      <c r="Z177" s="311"/>
      <c r="AA177" s="311"/>
      <c r="AB177" s="311"/>
      <c r="AC177" s="311"/>
    </row>
    <row r="178" spans="1:29" x14ac:dyDescent="0.25">
      <c r="A178" s="311"/>
      <c r="B178" s="311"/>
      <c r="C178" s="311"/>
      <c r="D178" s="311"/>
      <c r="E178" s="311"/>
      <c r="F178" s="311"/>
      <c r="G178" s="311"/>
      <c r="H178" s="311"/>
      <c r="I178" s="311"/>
      <c r="J178" s="311"/>
      <c r="K178" s="311"/>
      <c r="L178" s="311"/>
      <c r="M178" s="311"/>
      <c r="N178" s="311"/>
      <c r="O178" s="311"/>
      <c r="P178" s="311"/>
      <c r="Q178" s="311"/>
      <c r="R178" s="311"/>
      <c r="S178" s="311"/>
      <c r="T178" s="311"/>
      <c r="U178" s="311"/>
      <c r="V178" s="311"/>
      <c r="W178" s="311"/>
      <c r="X178" s="311"/>
      <c r="Y178" s="311"/>
      <c r="Z178" s="311"/>
      <c r="AA178" s="311"/>
      <c r="AB178" s="311"/>
      <c r="AC178" s="311"/>
    </row>
    <row r="179" spans="1:29" x14ac:dyDescent="0.25">
      <c r="A179" s="311"/>
      <c r="B179" s="311"/>
      <c r="C179" s="311"/>
      <c r="D179" s="311"/>
      <c r="E179" s="311"/>
      <c r="F179" s="311"/>
      <c r="G179" s="311"/>
      <c r="H179" s="311"/>
      <c r="I179" s="311"/>
      <c r="J179" s="311"/>
      <c r="K179" s="311"/>
      <c r="L179" s="311"/>
      <c r="M179" s="311"/>
      <c r="N179" s="311"/>
      <c r="O179" s="311"/>
      <c r="P179" s="311"/>
      <c r="Q179" s="311"/>
      <c r="R179" s="311"/>
      <c r="S179" s="311"/>
      <c r="T179" s="311"/>
      <c r="U179" s="311"/>
      <c r="V179" s="311"/>
      <c r="W179" s="311"/>
      <c r="X179" s="311"/>
      <c r="Y179" s="311"/>
      <c r="Z179" s="311"/>
      <c r="AA179" s="311"/>
      <c r="AB179" s="311"/>
      <c r="AC179" s="311"/>
    </row>
    <row r="180" spans="1:29" x14ac:dyDescent="0.25">
      <c r="A180" s="311"/>
      <c r="B180" s="311"/>
      <c r="C180" s="311"/>
      <c r="D180" s="311"/>
      <c r="E180" s="311"/>
      <c r="F180" s="311"/>
      <c r="G180" s="311"/>
      <c r="H180" s="311"/>
      <c r="I180" s="311"/>
      <c r="J180" s="311"/>
      <c r="K180" s="311"/>
      <c r="L180" s="311"/>
      <c r="M180" s="311"/>
      <c r="N180" s="311"/>
      <c r="O180" s="311"/>
      <c r="P180" s="311"/>
      <c r="Q180" s="311"/>
      <c r="R180" s="311"/>
      <c r="S180" s="311"/>
      <c r="T180" s="311"/>
      <c r="U180" s="311"/>
      <c r="V180" s="311"/>
      <c r="W180" s="311"/>
      <c r="X180" s="311"/>
      <c r="Y180" s="311"/>
      <c r="Z180" s="311"/>
      <c r="AA180" s="311"/>
      <c r="AB180" s="311"/>
      <c r="AC180" s="311"/>
    </row>
    <row r="181" spans="1:29" x14ac:dyDescent="0.25">
      <c r="A181" s="311"/>
      <c r="B181" s="311"/>
      <c r="C181" s="311"/>
      <c r="D181" s="311"/>
      <c r="E181" s="311"/>
      <c r="F181" s="311"/>
      <c r="G181" s="311"/>
      <c r="H181" s="311"/>
      <c r="I181" s="311"/>
      <c r="J181" s="311"/>
      <c r="K181" s="311"/>
      <c r="L181" s="311"/>
      <c r="M181" s="311"/>
      <c r="N181" s="311"/>
      <c r="O181" s="311"/>
      <c r="P181" s="311"/>
      <c r="Q181" s="311"/>
      <c r="R181" s="311"/>
      <c r="S181" s="311"/>
      <c r="T181" s="311"/>
      <c r="U181" s="311"/>
      <c r="V181" s="311"/>
      <c r="W181" s="311"/>
      <c r="X181" s="311"/>
      <c r="Y181" s="311"/>
      <c r="Z181" s="311"/>
      <c r="AA181" s="311"/>
      <c r="AB181" s="311"/>
      <c r="AC181" s="311"/>
    </row>
    <row r="182" spans="1:29" x14ac:dyDescent="0.25">
      <c r="A182" s="311"/>
      <c r="B182" s="311"/>
      <c r="C182" s="311"/>
      <c r="D182" s="311"/>
      <c r="E182" s="311"/>
      <c r="F182" s="311"/>
      <c r="G182" s="311"/>
      <c r="H182" s="311"/>
      <c r="I182" s="311"/>
      <c r="J182" s="311"/>
      <c r="K182" s="311"/>
      <c r="L182" s="311"/>
      <c r="M182" s="311"/>
      <c r="N182" s="311"/>
      <c r="O182" s="311"/>
      <c r="P182" s="311"/>
      <c r="Q182" s="311"/>
      <c r="R182" s="311"/>
      <c r="S182" s="311"/>
      <c r="T182" s="311"/>
      <c r="U182" s="311"/>
      <c r="V182" s="311"/>
      <c r="W182" s="311"/>
      <c r="X182" s="311"/>
      <c r="Y182" s="311"/>
      <c r="Z182" s="311"/>
      <c r="AA182" s="311"/>
      <c r="AB182" s="311"/>
      <c r="AC182" s="311"/>
    </row>
    <row r="183" spans="1:29" x14ac:dyDescent="0.25">
      <c r="A183" s="311"/>
      <c r="B183" s="311"/>
      <c r="C183" s="311"/>
      <c r="D183" s="311"/>
      <c r="E183" s="311"/>
      <c r="F183" s="311"/>
      <c r="G183" s="311"/>
      <c r="H183" s="311"/>
      <c r="I183" s="311"/>
      <c r="J183" s="311"/>
      <c r="K183" s="311"/>
      <c r="L183" s="311"/>
      <c r="M183" s="311"/>
      <c r="N183" s="311"/>
      <c r="O183" s="311"/>
      <c r="P183" s="311"/>
      <c r="Q183" s="311"/>
      <c r="R183" s="311"/>
      <c r="S183" s="311"/>
      <c r="T183" s="311"/>
      <c r="U183" s="311"/>
      <c r="V183" s="311"/>
      <c r="W183" s="311"/>
      <c r="X183" s="311"/>
      <c r="Y183" s="311"/>
      <c r="Z183" s="311"/>
      <c r="AA183" s="311"/>
      <c r="AB183" s="311"/>
      <c r="AC183" s="311"/>
    </row>
    <row r="184" spans="1:29" x14ac:dyDescent="0.25">
      <c r="A184" s="311"/>
      <c r="B184" s="311"/>
      <c r="C184" s="311"/>
      <c r="D184" s="311"/>
      <c r="E184" s="311"/>
      <c r="F184" s="311"/>
      <c r="G184" s="311"/>
      <c r="H184" s="311"/>
      <c r="I184" s="311"/>
      <c r="J184" s="311"/>
      <c r="K184" s="311"/>
      <c r="L184" s="311"/>
      <c r="M184" s="311"/>
      <c r="N184" s="311"/>
      <c r="O184" s="311"/>
      <c r="P184" s="311"/>
      <c r="Q184" s="311"/>
      <c r="R184" s="311"/>
      <c r="S184" s="311"/>
      <c r="T184" s="311"/>
      <c r="U184" s="311"/>
      <c r="V184" s="311"/>
      <c r="W184" s="311"/>
      <c r="X184" s="311"/>
      <c r="Y184" s="311"/>
      <c r="Z184" s="311"/>
      <c r="AA184" s="311"/>
      <c r="AB184" s="311"/>
      <c r="AC184" s="311"/>
    </row>
    <row r="185" spans="1:29" x14ac:dyDescent="0.25">
      <c r="A185" s="311"/>
      <c r="B185" s="311"/>
      <c r="C185" s="311"/>
      <c r="D185" s="311"/>
      <c r="E185" s="311"/>
      <c r="F185" s="311"/>
      <c r="G185" s="311"/>
      <c r="H185" s="311"/>
      <c r="I185" s="311"/>
      <c r="J185" s="311"/>
      <c r="K185" s="311"/>
      <c r="L185" s="311"/>
      <c r="M185" s="311"/>
      <c r="N185" s="311"/>
      <c r="O185" s="311"/>
      <c r="P185" s="311"/>
      <c r="Q185" s="311"/>
      <c r="R185" s="311"/>
      <c r="S185" s="311"/>
      <c r="T185" s="311"/>
      <c r="U185" s="311"/>
      <c r="V185" s="311"/>
      <c r="W185" s="311"/>
      <c r="X185" s="311"/>
      <c r="Y185" s="311"/>
      <c r="Z185" s="311"/>
      <c r="AA185" s="311"/>
      <c r="AB185" s="311"/>
      <c r="AC185" s="311"/>
    </row>
    <row r="186" spans="1:29" x14ac:dyDescent="0.25">
      <c r="A186" s="311"/>
      <c r="B186" s="311"/>
      <c r="C186" s="311"/>
      <c r="D186" s="311"/>
      <c r="E186" s="311"/>
      <c r="F186" s="311"/>
      <c r="G186" s="311"/>
      <c r="H186" s="311"/>
      <c r="I186" s="311"/>
      <c r="J186" s="311"/>
      <c r="K186" s="311"/>
      <c r="L186" s="311"/>
      <c r="M186" s="311"/>
      <c r="N186" s="311"/>
      <c r="O186" s="311"/>
      <c r="P186" s="311"/>
      <c r="Q186" s="311"/>
      <c r="R186" s="311"/>
      <c r="S186" s="311"/>
      <c r="T186" s="311"/>
      <c r="U186" s="311"/>
      <c r="V186" s="311"/>
      <c r="W186" s="311"/>
      <c r="X186" s="311"/>
      <c r="Y186" s="311"/>
      <c r="Z186" s="311"/>
      <c r="AA186" s="311"/>
      <c r="AB186" s="311"/>
      <c r="AC186" s="311"/>
    </row>
    <row r="187" spans="1:29" x14ac:dyDescent="0.25">
      <c r="A187" s="311"/>
      <c r="B187" s="311"/>
      <c r="C187" s="311"/>
      <c r="D187" s="311"/>
      <c r="E187" s="311"/>
      <c r="F187" s="311"/>
      <c r="G187" s="311"/>
      <c r="H187" s="311"/>
      <c r="I187" s="311"/>
      <c r="J187" s="311"/>
      <c r="K187" s="311"/>
      <c r="L187" s="311"/>
      <c r="M187" s="311"/>
      <c r="N187" s="311"/>
      <c r="O187" s="311"/>
      <c r="P187" s="311"/>
      <c r="Q187" s="311"/>
      <c r="R187" s="311"/>
      <c r="S187" s="311"/>
      <c r="T187" s="311"/>
      <c r="U187" s="311"/>
      <c r="V187" s="311"/>
      <c r="W187" s="311"/>
      <c r="X187" s="311"/>
      <c r="Y187" s="311"/>
      <c r="Z187" s="311"/>
      <c r="AA187" s="311"/>
      <c r="AB187" s="311"/>
      <c r="AC187" s="311"/>
    </row>
    <row r="188" spans="1:29" x14ac:dyDescent="0.25">
      <c r="A188" s="311"/>
      <c r="B188" s="311"/>
      <c r="C188" s="311"/>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1"/>
    </row>
    <row r="189" spans="1:29" x14ac:dyDescent="0.25">
      <c r="A189" s="311"/>
      <c r="B189" s="311"/>
      <c r="C189" s="311"/>
      <c r="D189" s="311"/>
      <c r="E189" s="311"/>
      <c r="F189" s="311"/>
      <c r="G189" s="311"/>
      <c r="H189" s="311"/>
      <c r="I189" s="311"/>
      <c r="J189" s="311"/>
      <c r="K189" s="311"/>
      <c r="L189" s="311"/>
      <c r="M189" s="311"/>
      <c r="N189" s="311"/>
      <c r="O189" s="311"/>
      <c r="P189" s="311"/>
      <c r="Q189" s="311"/>
      <c r="R189" s="311"/>
      <c r="S189" s="311"/>
      <c r="T189" s="311"/>
      <c r="U189" s="311"/>
      <c r="V189" s="311"/>
      <c r="W189" s="311"/>
      <c r="X189" s="311"/>
      <c r="Y189" s="311"/>
      <c r="Z189" s="311"/>
      <c r="AA189" s="311"/>
      <c r="AB189" s="311"/>
      <c r="AC189" s="311"/>
    </row>
    <row r="190" spans="1:29" x14ac:dyDescent="0.25">
      <c r="A190" s="311"/>
      <c r="B190" s="311"/>
      <c r="C190" s="311"/>
      <c r="D190" s="311"/>
      <c r="E190" s="311"/>
      <c r="F190" s="311"/>
      <c r="G190" s="311"/>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row>
    <row r="191" spans="1:29" x14ac:dyDescent="0.25">
      <c r="A191" s="311"/>
      <c r="B191" s="311"/>
      <c r="C191" s="311"/>
      <c r="D191" s="311"/>
      <c r="E191" s="311"/>
      <c r="F191" s="311"/>
      <c r="G191" s="311"/>
      <c r="H191" s="311"/>
      <c r="I191" s="311"/>
      <c r="J191" s="311"/>
      <c r="K191" s="311"/>
      <c r="L191" s="311"/>
      <c r="M191" s="311"/>
      <c r="N191" s="311"/>
      <c r="O191" s="311"/>
      <c r="P191" s="311"/>
      <c r="Q191" s="311"/>
      <c r="R191" s="311"/>
      <c r="S191" s="311"/>
      <c r="T191" s="311"/>
      <c r="U191" s="311"/>
      <c r="V191" s="311"/>
      <c r="W191" s="311"/>
      <c r="X191" s="311"/>
      <c r="Y191" s="311"/>
      <c r="Z191" s="311"/>
      <c r="AA191" s="311"/>
      <c r="AB191" s="311"/>
      <c r="AC191" s="311"/>
    </row>
    <row r="192" spans="1:29" x14ac:dyDescent="0.25">
      <c r="A192" s="311"/>
      <c r="B192" s="311"/>
      <c r="C192" s="311"/>
      <c r="D192" s="311"/>
      <c r="E192" s="311"/>
      <c r="F192" s="311"/>
      <c r="G192" s="311"/>
      <c r="H192" s="311"/>
      <c r="I192" s="311"/>
      <c r="J192" s="311"/>
      <c r="K192" s="311"/>
      <c r="L192" s="311"/>
      <c r="M192" s="311"/>
      <c r="N192" s="311"/>
      <c r="O192" s="311"/>
      <c r="P192" s="311"/>
      <c r="Q192" s="311"/>
      <c r="R192" s="311"/>
      <c r="S192" s="311"/>
      <c r="T192" s="311"/>
      <c r="U192" s="311"/>
      <c r="V192" s="311"/>
      <c r="W192" s="311"/>
      <c r="X192" s="311"/>
      <c r="Y192" s="311"/>
      <c r="Z192" s="311"/>
      <c r="AA192" s="311"/>
      <c r="AB192" s="311"/>
      <c r="AC192" s="311"/>
    </row>
    <row r="193" spans="1:31" x14ac:dyDescent="0.25">
      <c r="A193" s="311"/>
      <c r="B193" s="311"/>
      <c r="C193" s="311"/>
      <c r="D193" s="311"/>
      <c r="E193" s="311"/>
      <c r="F193" s="311"/>
      <c r="G193" s="311"/>
      <c r="H193" s="311"/>
      <c r="I193" s="311"/>
      <c r="J193" s="311"/>
      <c r="K193" s="311"/>
      <c r="L193" s="311"/>
      <c r="M193" s="311"/>
      <c r="N193" s="311"/>
      <c r="O193" s="311"/>
      <c r="P193" s="311"/>
      <c r="Q193" s="311"/>
      <c r="R193" s="311"/>
      <c r="S193" s="311"/>
      <c r="T193" s="311"/>
      <c r="U193" s="311"/>
      <c r="V193" s="311"/>
      <c r="W193" s="311"/>
      <c r="X193" s="311"/>
      <c r="Y193" s="311"/>
      <c r="Z193" s="311"/>
      <c r="AA193" s="311"/>
      <c r="AB193" s="311"/>
      <c r="AC193" s="311"/>
    </row>
    <row r="194" spans="1:31" x14ac:dyDescent="0.25">
      <c r="A194" s="311"/>
      <c r="B194" s="311"/>
      <c r="C194" s="311"/>
      <c r="D194" s="311"/>
      <c r="E194" s="311"/>
      <c r="F194" s="311"/>
      <c r="G194" s="311"/>
      <c r="H194" s="311"/>
      <c r="I194" s="311"/>
      <c r="J194" s="311"/>
      <c r="K194" s="311"/>
      <c r="L194" s="311"/>
      <c r="M194" s="311"/>
      <c r="N194" s="311"/>
      <c r="O194" s="311"/>
      <c r="P194" s="311"/>
      <c r="Q194" s="311"/>
      <c r="R194" s="311"/>
      <c r="S194" s="311"/>
      <c r="T194" s="311"/>
      <c r="U194" s="311"/>
      <c r="V194" s="311"/>
      <c r="W194" s="311"/>
      <c r="X194" s="311"/>
      <c r="Y194" s="311"/>
      <c r="Z194" s="311"/>
      <c r="AA194" s="311"/>
      <c r="AB194" s="311"/>
      <c r="AC194" s="311"/>
    </row>
    <row r="195" spans="1:31" x14ac:dyDescent="0.25">
      <c r="A195" s="311"/>
      <c r="B195" s="311"/>
      <c r="C195" s="311"/>
      <c r="D195" s="311"/>
      <c r="E195" s="311"/>
      <c r="F195" s="311"/>
      <c r="G195" s="311"/>
      <c r="H195" s="311"/>
      <c r="I195" s="311"/>
      <c r="J195" s="311"/>
      <c r="K195" s="311"/>
      <c r="L195" s="311"/>
      <c r="M195" s="311"/>
      <c r="N195" s="311"/>
      <c r="O195" s="311"/>
      <c r="P195" s="311"/>
      <c r="Q195" s="311"/>
      <c r="R195" s="311"/>
      <c r="S195" s="311"/>
      <c r="T195" s="311"/>
      <c r="U195" s="311"/>
      <c r="V195" s="311"/>
      <c r="W195" s="311"/>
      <c r="X195" s="311"/>
      <c r="Y195" s="311"/>
      <c r="Z195" s="311"/>
      <c r="AA195" s="311"/>
      <c r="AB195" s="311"/>
      <c r="AC195" s="311"/>
    </row>
    <row r="196" spans="1:31" x14ac:dyDescent="0.25">
      <c r="A196" s="311"/>
      <c r="B196" s="311"/>
      <c r="C196" s="311"/>
      <c r="D196" s="311"/>
      <c r="E196" s="311"/>
      <c r="F196" s="311"/>
      <c r="G196" s="311"/>
      <c r="H196" s="311"/>
      <c r="I196" s="311"/>
      <c r="J196" s="311"/>
      <c r="K196" s="311"/>
      <c r="L196" s="311"/>
      <c r="M196" s="311"/>
      <c r="N196" s="311"/>
      <c r="O196" s="311"/>
      <c r="P196" s="311"/>
      <c r="Q196" s="311"/>
      <c r="R196" s="311"/>
      <c r="S196" s="311"/>
      <c r="T196" s="311"/>
      <c r="U196" s="311"/>
      <c r="V196" s="311"/>
      <c r="W196" s="311"/>
      <c r="X196" s="311"/>
      <c r="Y196" s="311"/>
      <c r="Z196" s="311"/>
      <c r="AA196" s="311"/>
      <c r="AB196" s="311"/>
      <c r="AC196" s="311"/>
    </row>
    <row r="197" spans="1:31" x14ac:dyDescent="0.25">
      <c r="A197" s="311"/>
      <c r="B197" s="311"/>
      <c r="C197" s="311"/>
      <c r="D197" s="311"/>
      <c r="E197" s="311"/>
      <c r="F197" s="311"/>
      <c r="G197" s="311"/>
      <c r="H197" s="311"/>
      <c r="I197" s="311"/>
      <c r="J197" s="311"/>
      <c r="K197" s="311"/>
      <c r="L197" s="311"/>
      <c r="M197" s="311"/>
      <c r="N197" s="311"/>
      <c r="O197" s="311"/>
      <c r="P197" s="311"/>
      <c r="Q197" s="311"/>
      <c r="R197" s="311"/>
      <c r="S197" s="311"/>
      <c r="T197" s="311"/>
      <c r="U197" s="311"/>
      <c r="V197" s="311"/>
      <c r="W197" s="311"/>
      <c r="X197" s="311"/>
      <c r="Y197" s="311"/>
      <c r="Z197" s="311"/>
      <c r="AA197" s="311"/>
      <c r="AB197" s="311"/>
      <c r="AC197" s="311"/>
    </row>
    <row r="198" spans="1:31" x14ac:dyDescent="0.25">
      <c r="A198" s="311"/>
      <c r="B198" s="311"/>
      <c r="C198" s="311"/>
      <c r="D198" s="311"/>
      <c r="E198" s="311"/>
      <c r="F198" s="311"/>
      <c r="G198" s="311"/>
      <c r="H198" s="311"/>
      <c r="I198" s="311"/>
      <c r="J198" s="311"/>
      <c r="K198" s="311"/>
      <c r="L198" s="311"/>
      <c r="M198" s="311"/>
      <c r="N198" s="311"/>
      <c r="O198" s="311"/>
      <c r="P198" s="311"/>
      <c r="Q198" s="311"/>
      <c r="R198" s="311"/>
      <c r="S198" s="311"/>
      <c r="T198" s="311"/>
      <c r="U198" s="311"/>
      <c r="V198" s="311"/>
      <c r="W198" s="311"/>
      <c r="X198" s="311"/>
      <c r="Y198" s="311"/>
      <c r="Z198" s="311"/>
      <c r="AA198" s="311"/>
      <c r="AB198" s="311"/>
      <c r="AC198" s="311"/>
    </row>
    <row r="199" spans="1:31" x14ac:dyDescent="0.25">
      <c r="A199" s="311"/>
      <c r="B199" s="311"/>
      <c r="C199" s="311"/>
      <c r="D199" s="311"/>
      <c r="E199" s="311"/>
      <c r="F199" s="311"/>
      <c r="G199" s="311"/>
      <c r="H199" s="311"/>
      <c r="I199" s="311"/>
      <c r="J199" s="311"/>
      <c r="K199" s="311"/>
      <c r="L199" s="311"/>
      <c r="M199" s="311"/>
      <c r="N199" s="311"/>
      <c r="O199" s="311"/>
      <c r="P199" s="311"/>
      <c r="Q199" s="311"/>
      <c r="R199" s="311"/>
      <c r="S199" s="311"/>
      <c r="T199" s="311"/>
      <c r="U199" s="311"/>
      <c r="V199" s="311"/>
      <c r="W199" s="311"/>
      <c r="X199" s="311"/>
      <c r="Y199" s="311"/>
      <c r="Z199" s="311"/>
      <c r="AA199" s="311"/>
      <c r="AB199" s="311"/>
      <c r="AC199" s="311"/>
    </row>
    <row r="200" spans="1:31" ht="18" customHeight="1" x14ac:dyDescent="0.25">
      <c r="A200" s="311"/>
      <c r="B200" s="311"/>
      <c r="C200" s="311"/>
      <c r="D200" s="311"/>
      <c r="E200" s="311"/>
      <c r="F200" s="311"/>
      <c r="G200" s="311"/>
      <c r="H200" s="311"/>
      <c r="I200" s="311"/>
      <c r="J200" s="311"/>
      <c r="K200" s="311"/>
      <c r="L200" s="311"/>
      <c r="M200" s="311"/>
      <c r="N200" s="311"/>
      <c r="O200" s="311"/>
      <c r="P200" s="311"/>
      <c r="Q200" s="311"/>
      <c r="R200" s="311"/>
      <c r="S200" s="311"/>
      <c r="T200" s="311"/>
      <c r="U200" s="311"/>
      <c r="V200" s="311"/>
      <c r="W200" s="311"/>
      <c r="X200" s="311"/>
      <c r="Y200" s="311"/>
      <c r="Z200" s="311"/>
      <c r="AA200" s="311"/>
      <c r="AB200" s="311"/>
      <c r="AC200" s="311"/>
    </row>
    <row r="201" spans="1:31" s="1263" customFormat="1" ht="18" customHeight="1" x14ac:dyDescent="0.25">
      <c r="A201" s="333"/>
      <c r="B201" s="333"/>
      <c r="C201" s="333"/>
      <c r="D201" s="333"/>
      <c r="E201" s="333"/>
      <c r="F201" s="333"/>
      <c r="G201" s="333"/>
      <c r="H201" s="333"/>
      <c r="I201" s="333"/>
      <c r="J201" s="333"/>
      <c r="K201" s="333"/>
      <c r="L201" s="333"/>
      <c r="M201" s="333"/>
      <c r="N201" s="333"/>
      <c r="O201" s="333"/>
      <c r="P201" s="333"/>
      <c r="Q201" s="333"/>
      <c r="R201" s="333"/>
      <c r="S201" s="333"/>
      <c r="T201" s="333"/>
      <c r="U201" s="333"/>
      <c r="V201" s="333"/>
      <c r="W201" s="333"/>
      <c r="X201" s="1771" t="s">
        <v>612</v>
      </c>
      <c r="Y201" s="1772"/>
      <c r="Z201" s="1772"/>
      <c r="AA201" s="1773"/>
      <c r="AB201" s="565"/>
      <c r="AC201" s="565"/>
      <c r="AE201" s="635"/>
    </row>
    <row r="202" spans="1:31" ht="18" customHeight="1" x14ac:dyDescent="0.3">
      <c r="A202" s="311"/>
      <c r="B202" s="311"/>
      <c r="C202" s="311"/>
      <c r="D202" s="311"/>
      <c r="E202" s="311"/>
      <c r="F202" s="311"/>
      <c r="G202" s="311"/>
      <c r="H202" s="311"/>
      <c r="I202" s="311"/>
      <c r="J202" s="311"/>
      <c r="K202" s="311"/>
      <c r="L202" s="311"/>
      <c r="M202" s="311"/>
      <c r="N202" s="311"/>
      <c r="O202" s="311"/>
      <c r="P202" s="311"/>
      <c r="Q202" s="311"/>
      <c r="R202" s="311"/>
      <c r="S202" s="311"/>
      <c r="T202" s="311"/>
      <c r="U202" s="311"/>
      <c r="V202" s="311"/>
      <c r="W202" s="311"/>
      <c r="X202" s="1766" t="str">
        <f>ROUND(C66/1000,0)&amp;" mld €"</f>
        <v>107 mld €</v>
      </c>
      <c r="Y202" s="1767"/>
      <c r="Z202" s="1767"/>
      <c r="AA202" s="1768"/>
      <c r="AB202" s="19"/>
      <c r="AC202" s="19"/>
    </row>
    <row r="203" spans="1:31" ht="18" customHeight="1" x14ac:dyDescent="0.3">
      <c r="A203" s="311"/>
      <c r="B203" s="311"/>
      <c r="C203" s="311"/>
      <c r="D203" s="311"/>
      <c r="E203" s="311"/>
      <c r="F203" s="311"/>
      <c r="G203" s="311"/>
      <c r="H203" s="311"/>
      <c r="I203" s="311"/>
      <c r="J203" s="311"/>
      <c r="K203" s="311"/>
      <c r="L203" s="311"/>
      <c r="M203" s="311"/>
      <c r="N203" s="311"/>
      <c r="O203" s="311"/>
      <c r="P203" s="311"/>
      <c r="Q203" s="311"/>
      <c r="R203" s="311"/>
      <c r="S203" s="311"/>
      <c r="T203" s="311"/>
      <c r="U203" s="311"/>
      <c r="V203" s="311"/>
      <c r="W203" s="311"/>
      <c r="X203" s="311"/>
      <c r="Y203" s="322"/>
      <c r="Z203" s="311"/>
      <c r="AA203" s="311"/>
      <c r="AB203" s="19"/>
      <c r="AC203" s="19"/>
    </row>
    <row r="204" spans="1:31" s="1263" customFormat="1" ht="83.25" customHeight="1" x14ac:dyDescent="0.25">
      <c r="A204" s="333"/>
      <c r="B204" s="333"/>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1774" t="str">
        <f>"Totaal uitgaven voor toenemend % hernieuwbare energie tot " &amp;Uitgangspunten!B92*100&amp;" % in 2050 met een kostenstijging per % van "&amp;Resultaatgrafiek!AC204*100&amp; " % per 10 jaar"</f>
        <v>Totaal uitgaven voor toenemend % hernieuwbare energie tot 85 % in 2050 met een kostenstijging per % van 0 % per 10 jaar</v>
      </c>
      <c r="Y204" s="1775"/>
      <c r="Z204" s="1775"/>
      <c r="AA204" s="1776"/>
      <c r="AB204" s="565"/>
      <c r="AC204" s="1622">
        <f>- D285</f>
        <v>0</v>
      </c>
      <c r="AD204" s="974"/>
      <c r="AE204" s="1268"/>
    </row>
    <row r="205" spans="1:31" s="1263" customFormat="1" ht="20.25" customHeight="1" x14ac:dyDescent="0.25">
      <c r="A205" s="333"/>
      <c r="B205" s="333"/>
      <c r="C205" s="333"/>
      <c r="D205" s="333"/>
      <c r="E205" s="333"/>
      <c r="F205" s="333"/>
      <c r="G205" s="333"/>
      <c r="H205" s="333"/>
      <c r="I205" s="333"/>
      <c r="J205" s="333"/>
      <c r="K205" s="333"/>
      <c r="L205" s="333"/>
      <c r="M205" s="333"/>
      <c r="N205" s="333"/>
      <c r="O205" s="333"/>
      <c r="P205" s="333"/>
      <c r="Q205" s="333"/>
      <c r="R205" s="333"/>
      <c r="S205" s="333"/>
      <c r="T205" s="333"/>
      <c r="U205" s="333"/>
      <c r="V205" s="333"/>
      <c r="W205" s="333"/>
      <c r="X205" s="1763" t="str">
        <f>ROUND(O283/1000,0)&amp;" mld €"</f>
        <v>375 mld €</v>
      </c>
      <c r="Y205" s="1764"/>
      <c r="Z205" s="1764"/>
      <c r="AA205" s="1765"/>
      <c r="AB205" s="565"/>
      <c r="AC205" s="565"/>
      <c r="AE205" s="635"/>
    </row>
    <row r="206" spans="1:31" ht="15" customHeight="1" x14ac:dyDescent="0.25">
      <c r="A206" s="311"/>
      <c r="B206" s="311"/>
      <c r="C206" s="311"/>
      <c r="D206" s="311"/>
      <c r="E206" s="311"/>
      <c r="F206" s="311"/>
      <c r="G206" s="311"/>
      <c r="H206" s="311"/>
      <c r="I206" s="311"/>
      <c r="J206" s="311"/>
      <c r="K206" s="311"/>
      <c r="L206" s="311"/>
      <c r="M206" s="311"/>
      <c r="N206" s="311"/>
      <c r="O206" s="311"/>
      <c r="P206" s="311"/>
      <c r="Q206" s="311"/>
      <c r="R206" s="311"/>
      <c r="S206" s="311"/>
      <c r="T206" s="311"/>
      <c r="U206" s="311"/>
      <c r="V206" s="311"/>
      <c r="W206" s="311"/>
      <c r="X206" s="311"/>
      <c r="Y206" s="311"/>
      <c r="Z206" s="311"/>
      <c r="AA206" s="311"/>
      <c r="AB206" s="19"/>
      <c r="AC206" s="19"/>
    </row>
    <row r="207" spans="1:31" ht="18.75" x14ac:dyDescent="0.25">
      <c r="A207" s="311"/>
      <c r="B207" s="311"/>
      <c r="C207" s="311"/>
      <c r="D207" s="311"/>
      <c r="E207" s="311"/>
      <c r="F207" s="311"/>
      <c r="G207" s="311"/>
      <c r="H207" s="311"/>
      <c r="I207" s="311"/>
      <c r="J207" s="311"/>
      <c r="K207" s="311"/>
      <c r="L207" s="311"/>
      <c r="M207" s="311"/>
      <c r="N207" s="311"/>
      <c r="O207" s="311"/>
      <c r="P207" s="311"/>
      <c r="Q207" s="311"/>
      <c r="R207" s="311"/>
      <c r="S207" s="311"/>
      <c r="T207" s="311"/>
      <c r="U207" s="311"/>
      <c r="V207" s="311"/>
      <c r="W207" s="311"/>
      <c r="X207" s="1771" t="s">
        <v>612</v>
      </c>
      <c r="Y207" s="1772"/>
      <c r="Z207" s="1772"/>
      <c r="AA207" s="1773"/>
      <c r="AB207" s="19"/>
      <c r="AC207" s="19"/>
    </row>
    <row r="208" spans="1:31" s="1263" customFormat="1" ht="20.100000000000001" customHeight="1" x14ac:dyDescent="0.25">
      <c r="A208" s="333"/>
      <c r="B208" s="333"/>
      <c r="C208" s="333"/>
      <c r="D208" s="333"/>
      <c r="E208" s="333"/>
      <c r="F208" s="333"/>
      <c r="G208" s="333"/>
      <c r="H208" s="333"/>
      <c r="I208" s="333"/>
      <c r="J208" s="333"/>
      <c r="K208" s="333"/>
      <c r="L208" s="333"/>
      <c r="M208" s="333"/>
      <c r="N208" s="333"/>
      <c r="O208" s="333"/>
      <c r="P208" s="333"/>
      <c r="Q208" s="333"/>
      <c r="R208" s="333"/>
      <c r="S208" s="333"/>
      <c r="T208" s="333"/>
      <c r="U208" s="333"/>
      <c r="V208" s="333"/>
      <c r="W208" s="333"/>
      <c r="X208" s="1763" t="str">
        <f>ROUND(D66,3)*100&amp;"% duurzaam"</f>
        <v>14,3% duurzaam</v>
      </c>
      <c r="Y208" s="1764"/>
      <c r="Z208" s="1764"/>
      <c r="AA208" s="1765"/>
      <c r="AB208" s="333"/>
      <c r="AC208" s="333"/>
      <c r="AE208" s="635"/>
    </row>
    <row r="209" spans="1:29" x14ac:dyDescent="0.25">
      <c r="A209" s="311"/>
      <c r="B209" s="311"/>
      <c r="C209" s="311"/>
      <c r="D209" s="311"/>
      <c r="E209" s="311"/>
      <c r="F209" s="311"/>
      <c r="G209" s="311"/>
      <c r="H209" s="311"/>
      <c r="I209" s="311"/>
      <c r="J209" s="311"/>
      <c r="K209" s="311"/>
      <c r="L209" s="311"/>
      <c r="M209" s="311"/>
      <c r="N209" s="311"/>
      <c r="O209" s="311"/>
      <c r="P209" s="311"/>
      <c r="Q209" s="311"/>
      <c r="R209" s="311"/>
      <c r="S209" s="311"/>
      <c r="T209" s="311"/>
      <c r="U209" s="311"/>
      <c r="V209" s="311"/>
      <c r="W209" s="311"/>
      <c r="X209" s="311"/>
      <c r="Y209" s="311"/>
      <c r="Z209" s="311"/>
      <c r="AA209" s="311"/>
      <c r="AB209" s="311"/>
      <c r="AC209" s="311"/>
    </row>
    <row r="210" spans="1:29" ht="18.75" x14ac:dyDescent="0.25">
      <c r="A210" s="311"/>
      <c r="B210" s="311"/>
      <c r="C210" s="311"/>
      <c r="D210" s="311"/>
      <c r="E210" s="311"/>
      <c r="F210" s="311"/>
      <c r="G210" s="311"/>
      <c r="H210" s="311"/>
      <c r="I210" s="311"/>
      <c r="J210" s="311"/>
      <c r="K210" s="311"/>
      <c r="L210" s="311"/>
      <c r="M210" s="311"/>
      <c r="N210" s="311"/>
      <c r="O210" s="311"/>
      <c r="P210" s="311"/>
      <c r="Q210" s="311"/>
      <c r="R210" s="311"/>
      <c r="S210" s="311"/>
      <c r="T210" s="311"/>
      <c r="U210" s="311"/>
      <c r="V210" s="311"/>
      <c r="W210" s="311"/>
      <c r="X210" s="1771" t="s">
        <v>612</v>
      </c>
      <c r="Y210" s="1772"/>
      <c r="Z210" s="1772"/>
      <c r="AA210" s="1773"/>
      <c r="AB210" s="311"/>
      <c r="AC210" s="311"/>
    </row>
    <row r="211" spans="1:29" ht="20.100000000000001" customHeight="1" x14ac:dyDescent="0.3">
      <c r="A211" s="311"/>
      <c r="B211" s="311"/>
      <c r="C211" s="311"/>
      <c r="D211" s="311"/>
      <c r="E211" s="311"/>
      <c r="F211" s="311"/>
      <c r="G211" s="311"/>
      <c r="H211" s="311"/>
      <c r="I211" s="311"/>
      <c r="J211" s="311"/>
      <c r="K211" s="311"/>
      <c r="L211" s="311"/>
      <c r="M211" s="311"/>
      <c r="N211" s="311"/>
      <c r="O211" s="311"/>
      <c r="P211" s="311"/>
      <c r="Q211" s="311"/>
      <c r="R211" s="311"/>
      <c r="S211" s="311"/>
      <c r="T211" s="311"/>
      <c r="U211" s="311"/>
      <c r="V211" s="311"/>
      <c r="W211" s="311"/>
      <c r="X211" s="1766" t="str">
        <f>ROUND(G66,0)&amp;" PJ"</f>
        <v>520 PJ</v>
      </c>
      <c r="Y211" s="1767"/>
      <c r="Z211" s="1767"/>
      <c r="AA211" s="1768"/>
      <c r="AB211" s="311"/>
      <c r="AC211" s="311"/>
    </row>
    <row r="212" spans="1:29" x14ac:dyDescent="0.25">
      <c r="A212" s="311"/>
      <c r="B212" s="311"/>
      <c r="C212" s="311"/>
      <c r="D212" s="311"/>
      <c r="E212" s="311"/>
      <c r="F212" s="311"/>
      <c r="G212" s="311"/>
      <c r="H212" s="311"/>
      <c r="I212" s="311"/>
      <c r="J212" s="311"/>
      <c r="K212" s="311"/>
      <c r="L212" s="311"/>
      <c r="M212" s="311"/>
      <c r="N212" s="311"/>
      <c r="O212" s="311"/>
      <c r="P212" s="311"/>
      <c r="Q212" s="311"/>
      <c r="R212" s="311"/>
      <c r="S212" s="311"/>
      <c r="T212" s="311"/>
      <c r="U212" s="311"/>
      <c r="V212" s="311"/>
      <c r="W212" s="311"/>
      <c r="X212" s="311"/>
      <c r="Y212" s="311"/>
      <c r="Z212" s="311"/>
      <c r="AA212" s="311"/>
      <c r="AB212" s="311"/>
      <c r="AC212" s="311"/>
    </row>
    <row r="213" spans="1:29" ht="18.75" x14ac:dyDescent="0.25">
      <c r="A213" s="311"/>
      <c r="B213" s="311"/>
      <c r="C213" s="311"/>
      <c r="D213" s="311"/>
      <c r="E213" s="311"/>
      <c r="F213" s="311"/>
      <c r="G213" s="311"/>
      <c r="H213" s="311"/>
      <c r="I213" s="311"/>
      <c r="J213" s="311"/>
      <c r="K213" s="311"/>
      <c r="L213" s="311"/>
      <c r="M213" s="311"/>
      <c r="N213" s="311"/>
      <c r="O213" s="311"/>
      <c r="P213" s="311"/>
      <c r="Q213" s="311"/>
      <c r="R213" s="311"/>
      <c r="S213" s="311"/>
      <c r="T213" s="311"/>
      <c r="U213" s="311"/>
      <c r="V213" s="311"/>
      <c r="W213" s="311"/>
      <c r="X213" s="1771" t="s">
        <v>612</v>
      </c>
      <c r="Y213" s="1772"/>
      <c r="Z213" s="1772"/>
      <c r="AA213" s="1773"/>
      <c r="AB213" s="311"/>
      <c r="AC213" s="311"/>
    </row>
    <row r="214" spans="1:29" ht="18.75" x14ac:dyDescent="0.3">
      <c r="A214" s="311"/>
      <c r="B214" s="311"/>
      <c r="C214" s="311"/>
      <c r="D214" s="311"/>
      <c r="E214" s="311"/>
      <c r="F214" s="311"/>
      <c r="G214" s="311"/>
      <c r="H214" s="311"/>
      <c r="I214" s="311"/>
      <c r="J214" s="311"/>
      <c r="K214" s="311"/>
      <c r="L214" s="311"/>
      <c r="M214" s="311"/>
      <c r="N214" s="311"/>
      <c r="O214" s="311"/>
      <c r="P214" s="311"/>
      <c r="Q214" s="311"/>
      <c r="R214" s="311"/>
      <c r="S214" s="311"/>
      <c r="T214" s="311"/>
      <c r="U214" s="311"/>
      <c r="V214" s="311"/>
      <c r="W214" s="311"/>
      <c r="X214" s="1766" t="str">
        <f>ROUND(K66,1)&amp;" Mton CO2"</f>
        <v>43,4 Mton CO2</v>
      </c>
      <c r="Y214" s="1767"/>
      <c r="Z214" s="1767"/>
      <c r="AA214" s="1768"/>
      <c r="AB214" s="311"/>
      <c r="AC214" s="311"/>
    </row>
    <row r="215" spans="1:29" x14ac:dyDescent="0.25">
      <c r="A215" s="311"/>
      <c r="B215" s="311"/>
      <c r="C215" s="311"/>
      <c r="D215" s="311"/>
      <c r="E215" s="311"/>
      <c r="F215" s="311"/>
      <c r="G215" s="311"/>
      <c r="H215" s="311"/>
      <c r="I215" s="311"/>
      <c r="J215" s="311"/>
      <c r="K215" s="311"/>
      <c r="L215" s="311"/>
      <c r="M215" s="311"/>
      <c r="N215" s="311"/>
      <c r="O215" s="311"/>
      <c r="P215" s="311"/>
      <c r="Q215" s="311"/>
      <c r="R215" s="311"/>
      <c r="S215" s="311"/>
      <c r="T215" s="311"/>
      <c r="U215" s="311"/>
      <c r="V215" s="311"/>
      <c r="W215" s="311"/>
      <c r="X215" s="311"/>
      <c r="Y215" s="311"/>
      <c r="Z215" s="311"/>
      <c r="AA215" s="311"/>
      <c r="AB215" s="311"/>
      <c r="AC215" s="311"/>
    </row>
    <row r="216" spans="1:29" x14ac:dyDescent="0.25">
      <c r="A216" s="311"/>
      <c r="B216" s="311"/>
      <c r="C216" s="311"/>
      <c r="D216" s="311"/>
      <c r="E216" s="311"/>
      <c r="F216" s="311"/>
      <c r="G216" s="311"/>
      <c r="H216" s="311"/>
      <c r="I216" s="311"/>
      <c r="J216" s="311"/>
      <c r="K216" s="311"/>
      <c r="L216" s="311"/>
      <c r="M216" s="311"/>
      <c r="N216" s="311"/>
      <c r="O216" s="311"/>
      <c r="P216" s="311"/>
      <c r="Q216" s="311"/>
      <c r="R216" s="311"/>
      <c r="S216" s="311"/>
      <c r="T216" s="311"/>
      <c r="U216" s="311"/>
      <c r="V216" s="311"/>
      <c r="W216" s="311"/>
      <c r="X216" s="311"/>
      <c r="Y216" s="311"/>
      <c r="Z216" s="311"/>
      <c r="AA216" s="311"/>
      <c r="AB216" s="311"/>
      <c r="AC216" s="311"/>
    </row>
    <row r="217" spans="1:29" ht="21" x14ac:dyDescent="0.35">
      <c r="A217" s="27" t="s">
        <v>204</v>
      </c>
      <c r="B217" s="27"/>
      <c r="C217" s="27"/>
      <c r="D217" s="27"/>
      <c r="E217" s="79"/>
      <c r="F217" s="28"/>
      <c r="G217" s="28"/>
      <c r="H217" s="289"/>
      <c r="I217" s="290"/>
      <c r="J217" s="21"/>
      <c r="K217" s="21"/>
      <c r="L217" s="26"/>
      <c r="M217" s="26"/>
      <c r="N217" s="26"/>
      <c r="O217" s="26"/>
      <c r="P217" s="26"/>
      <c r="Q217" s="26"/>
      <c r="R217" s="26"/>
      <c r="S217" s="26"/>
      <c r="T217" s="26"/>
      <c r="U217" s="26"/>
      <c r="V217" s="26"/>
      <c r="W217" s="26"/>
      <c r="X217" s="26"/>
      <c r="Y217" s="26"/>
      <c r="Z217" s="26"/>
      <c r="AA217" s="26"/>
      <c r="AB217" s="311"/>
      <c r="AC217" s="311"/>
    </row>
    <row r="218" spans="1:29" ht="21" x14ac:dyDescent="0.35">
      <c r="A218" s="793" t="s">
        <v>523</v>
      </c>
      <c r="B218" s="793"/>
      <c r="C218" s="793"/>
      <c r="D218" s="793"/>
      <c r="E218" s="794"/>
      <c r="F218" s="795"/>
      <c r="G218" s="795"/>
      <c r="H218" s="800"/>
      <c r="I218" s="801"/>
      <c r="J218" s="738"/>
      <c r="K218" s="738"/>
      <c r="L218" s="738"/>
      <c r="M218" s="738"/>
      <c r="N218" s="738"/>
      <c r="O218" s="738"/>
      <c r="P218" s="311"/>
      <c r="Q218" s="311"/>
      <c r="R218" s="311"/>
      <c r="S218" s="311"/>
      <c r="T218" s="311"/>
      <c r="U218" s="311"/>
      <c r="V218" s="311"/>
      <c r="W218" s="311"/>
      <c r="X218" s="311"/>
      <c r="Y218" s="311"/>
      <c r="Z218" s="311"/>
      <c r="AA218" s="311"/>
      <c r="AB218" s="311"/>
      <c r="AC218" s="311"/>
    </row>
    <row r="219" spans="1:29" ht="31.5" x14ac:dyDescent="0.25">
      <c r="A219" s="609" t="s">
        <v>424</v>
      </c>
      <c r="B219" s="610">
        <v>1500</v>
      </c>
      <c r="C219" s="555" t="s">
        <v>186</v>
      </c>
      <c r="D219" s="611"/>
      <c r="E219" s="563"/>
      <c r="F219" s="310"/>
      <c r="G219" s="738"/>
      <c r="H219" s="738"/>
      <c r="I219" s="802"/>
      <c r="J219" s="803"/>
      <c r="K219" s="738"/>
      <c r="L219" s="738"/>
      <c r="M219" s="794"/>
      <c r="N219" s="794"/>
      <c r="O219" s="804"/>
      <c r="P219" s="804"/>
      <c r="Q219" s="804"/>
      <c r="R219" s="311"/>
      <c r="S219" s="311"/>
      <c r="T219" s="311"/>
      <c r="U219" s="311"/>
      <c r="V219" s="311"/>
      <c r="W219" s="311"/>
      <c r="X219" s="311"/>
      <c r="Y219" s="311"/>
      <c r="Z219" s="311"/>
      <c r="AA219" s="311"/>
      <c r="AB219" s="311"/>
      <c r="AC219" s="311"/>
    </row>
    <row r="220" spans="1:29" ht="31.5" x14ac:dyDescent="0.25">
      <c r="A220" s="609" t="s">
        <v>425</v>
      </c>
      <c r="B220" s="610">
        <v>2600</v>
      </c>
      <c r="C220" s="555" t="s">
        <v>186</v>
      </c>
      <c r="D220" s="611"/>
      <c r="E220" s="563"/>
      <c r="F220" s="310"/>
      <c r="G220" s="738"/>
      <c r="H220" s="738"/>
      <c r="I220" s="802"/>
      <c r="J220" s="405"/>
      <c r="K220" s="738"/>
      <c r="L220" s="738"/>
      <c r="M220" s="794"/>
      <c r="N220" s="794"/>
      <c r="O220" s="804"/>
      <c r="P220" s="804"/>
      <c r="Q220" s="311"/>
      <c r="R220" s="311"/>
      <c r="S220" s="311"/>
      <c r="T220" s="311"/>
      <c r="U220" s="311"/>
      <c r="V220" s="311"/>
      <c r="W220" s="311"/>
      <c r="X220" s="311"/>
      <c r="Y220" s="311"/>
      <c r="Z220" s="311"/>
      <c r="AA220" s="311"/>
      <c r="AB220" s="311"/>
      <c r="AC220" s="311"/>
    </row>
    <row r="221" spans="1:29" ht="63" x14ac:dyDescent="0.25">
      <c r="A221" s="609" t="s">
        <v>1015</v>
      </c>
      <c r="B221" s="610">
        <f>+Resultaatgrafiek!L230/8+200</f>
        <v>2198.125</v>
      </c>
      <c r="C221" s="611" t="s">
        <v>245</v>
      </c>
      <c r="D221" s="796"/>
      <c r="E221" s="563"/>
      <c r="F221" s="310"/>
      <c r="G221" s="738"/>
      <c r="H221" s="738"/>
      <c r="I221" s="794"/>
      <c r="J221" s="794"/>
      <c r="K221" s="805" t="s">
        <v>162</v>
      </c>
      <c r="L221" s="804"/>
      <c r="M221" s="738"/>
      <c r="N221" s="738"/>
      <c r="O221" s="738"/>
      <c r="P221" s="311"/>
      <c r="Q221" s="311"/>
      <c r="R221" s="311"/>
      <c r="S221" s="311"/>
      <c r="T221" s="311"/>
      <c r="U221" s="311"/>
      <c r="V221" s="311"/>
      <c r="W221" s="311"/>
      <c r="X221" s="311"/>
      <c r="Y221" s="311"/>
      <c r="Z221" s="311"/>
      <c r="AA221" s="311"/>
      <c r="AB221" s="311"/>
      <c r="AC221" s="311"/>
    </row>
    <row r="222" spans="1:29" ht="15.75" x14ac:dyDescent="0.25">
      <c r="A222" s="609" t="s">
        <v>426</v>
      </c>
      <c r="B222" s="327"/>
      <c r="C222" s="555"/>
      <c r="D222" s="611"/>
      <c r="E222" s="563"/>
      <c r="F222" s="310"/>
      <c r="G222" s="738"/>
      <c r="H222" s="738"/>
      <c r="I222" s="794"/>
      <c r="J222" s="794"/>
      <c r="K222" s="806">
        <v>2013</v>
      </c>
      <c r="L222" s="807">
        <v>900</v>
      </c>
      <c r="M222" s="738"/>
      <c r="N222" s="738"/>
      <c r="O222" s="738"/>
      <c r="P222" s="311"/>
      <c r="Q222" s="311"/>
      <c r="R222" s="311"/>
      <c r="S222" s="311"/>
      <c r="T222" s="311"/>
      <c r="U222" s="311"/>
      <c r="V222" s="311"/>
      <c r="W222" s="311"/>
      <c r="X222" s="311"/>
      <c r="Y222" s="311"/>
      <c r="Z222" s="311"/>
      <c r="AA222" s="311"/>
      <c r="AB222" s="311"/>
      <c r="AC222" s="311"/>
    </row>
    <row r="223" spans="1:29" ht="15.75" x14ac:dyDescent="0.25">
      <c r="A223" s="612" t="s">
        <v>156</v>
      </c>
      <c r="B223" s="610">
        <v>81</v>
      </c>
      <c r="C223" s="555" t="s">
        <v>154</v>
      </c>
      <c r="D223" s="611"/>
      <c r="E223" s="563"/>
      <c r="F223" s="310"/>
      <c r="G223" s="738"/>
      <c r="H223" s="738"/>
      <c r="I223" s="794"/>
      <c r="J223" s="794"/>
      <c r="K223" s="806">
        <v>2014</v>
      </c>
      <c r="L223" s="807">
        <v>1118</v>
      </c>
      <c r="M223" s="738"/>
      <c r="N223" s="738"/>
      <c r="O223" s="738"/>
      <c r="P223" s="311"/>
      <c r="Q223" s="311"/>
      <c r="R223" s="311"/>
      <c r="S223" s="311"/>
      <c r="T223" s="311"/>
      <c r="U223" s="311"/>
      <c r="V223" s="311"/>
      <c r="W223" s="311"/>
      <c r="X223" s="311"/>
      <c r="Y223" s="311"/>
      <c r="Z223" s="311"/>
      <c r="AA223" s="311"/>
      <c r="AB223" s="311"/>
      <c r="AC223" s="311"/>
    </row>
    <row r="224" spans="1:29" ht="15.75" x14ac:dyDescent="0.25">
      <c r="A224" s="612" t="s">
        <v>155</v>
      </c>
      <c r="B224" s="613">
        <v>-43</v>
      </c>
      <c r="C224" s="555" t="s">
        <v>154</v>
      </c>
      <c r="D224" s="611"/>
      <c r="E224" s="563"/>
      <c r="F224" s="310"/>
      <c r="G224" s="738"/>
      <c r="H224" s="738"/>
      <c r="I224" s="794"/>
      <c r="J224" s="794"/>
      <c r="K224" s="806">
        <v>2015</v>
      </c>
      <c r="L224" s="807">
        <v>1272</v>
      </c>
      <c r="M224" s="738"/>
      <c r="N224" s="738"/>
      <c r="O224" s="738"/>
      <c r="P224" s="311"/>
      <c r="Q224" s="311"/>
      <c r="R224" s="311"/>
      <c r="S224" s="311"/>
      <c r="T224" s="311"/>
      <c r="U224" s="311"/>
      <c r="V224" s="311"/>
      <c r="W224" s="311"/>
      <c r="X224" s="311"/>
      <c r="Y224" s="311"/>
      <c r="Z224" s="311"/>
      <c r="AA224" s="311"/>
      <c r="AB224" s="311"/>
      <c r="AC224" s="311"/>
    </row>
    <row r="225" spans="1:34" ht="31.5" x14ac:dyDescent="0.25">
      <c r="A225" s="614" t="s">
        <v>417</v>
      </c>
      <c r="B225" s="797">
        <v>79300</v>
      </c>
      <c r="C225" s="555" t="s">
        <v>421</v>
      </c>
      <c r="D225" s="310"/>
      <c r="E225" s="563"/>
      <c r="F225" s="310"/>
      <c r="G225" s="738"/>
      <c r="H225" s="738"/>
      <c r="I225" s="794"/>
      <c r="J225" s="794"/>
      <c r="K225" s="806">
        <v>2016</v>
      </c>
      <c r="L225" s="807">
        <v>1474</v>
      </c>
      <c r="M225" s="738"/>
      <c r="N225" s="738"/>
      <c r="O225" s="738"/>
      <c r="P225" s="311"/>
      <c r="Q225" s="311"/>
      <c r="R225" s="311"/>
      <c r="S225" s="311"/>
      <c r="T225" s="311"/>
      <c r="U225" s="311"/>
      <c r="V225" s="311"/>
      <c r="W225" s="311"/>
      <c r="X225" s="311"/>
      <c r="Y225" s="311"/>
      <c r="Z225" s="311"/>
      <c r="AA225" s="311"/>
      <c r="AB225" s="311"/>
      <c r="AC225" s="311"/>
    </row>
    <row r="226" spans="1:34" ht="15.75" x14ac:dyDescent="0.25">
      <c r="A226" s="798"/>
      <c r="B226" s="799">
        <v>3200</v>
      </c>
      <c r="C226" s="555" t="s">
        <v>418</v>
      </c>
      <c r="D226" s="310"/>
      <c r="E226" s="563"/>
      <c r="F226" s="310"/>
      <c r="G226" s="738"/>
      <c r="H226" s="738"/>
      <c r="I226" s="794"/>
      <c r="J226" s="794"/>
      <c r="K226" s="806">
        <v>2017</v>
      </c>
      <c r="L226" s="807">
        <v>1789</v>
      </c>
      <c r="M226" s="738"/>
      <c r="N226" s="738"/>
      <c r="O226" s="738"/>
      <c r="P226" s="311"/>
      <c r="Q226" s="311"/>
      <c r="R226" s="311"/>
      <c r="S226" s="311"/>
      <c r="T226" s="311"/>
      <c r="U226" s="311"/>
      <c r="V226" s="311"/>
      <c r="W226" s="311"/>
      <c r="X226" s="311"/>
      <c r="Y226" s="311"/>
      <c r="Z226" s="311"/>
      <c r="AA226" s="311"/>
      <c r="AB226" s="311"/>
      <c r="AC226" s="311"/>
    </row>
    <row r="227" spans="1:34" ht="15.75" x14ac:dyDescent="0.25">
      <c r="A227" s="310"/>
      <c r="B227" s="310"/>
      <c r="C227" s="310"/>
      <c r="D227" s="310"/>
      <c r="E227" s="310"/>
      <c r="F227" s="310"/>
      <c r="G227" s="738"/>
      <c r="H227" s="738"/>
      <c r="I227" s="738"/>
      <c r="J227" s="738"/>
      <c r="K227" s="806">
        <v>2018</v>
      </c>
      <c r="L227" s="807">
        <v>2404</v>
      </c>
      <c r="M227" s="738"/>
      <c r="N227" s="738"/>
      <c r="O227" s="738"/>
      <c r="P227" s="311"/>
      <c r="Q227" s="311"/>
      <c r="R227" s="311"/>
      <c r="S227" s="311"/>
      <c r="T227" s="311"/>
      <c r="U227" s="311"/>
      <c r="V227" s="311"/>
      <c r="W227" s="311"/>
      <c r="X227" s="311"/>
      <c r="Y227" s="311"/>
      <c r="Z227" s="311"/>
      <c r="AA227" s="311"/>
      <c r="AB227" s="311"/>
      <c r="AC227" s="311"/>
    </row>
    <row r="228" spans="1:34" ht="15.75" x14ac:dyDescent="0.25">
      <c r="A228" s="310"/>
      <c r="B228" s="310"/>
      <c r="C228" s="310"/>
      <c r="D228" s="310"/>
      <c r="E228" s="310"/>
      <c r="F228" s="310"/>
      <c r="G228" s="738"/>
      <c r="H228" s="738"/>
      <c r="I228" s="738"/>
      <c r="J228" s="738"/>
      <c r="K228" s="806">
        <v>2019</v>
      </c>
      <c r="L228" s="807">
        <v>3214</v>
      </c>
      <c r="M228" s="738"/>
      <c r="N228" s="738"/>
      <c r="O228" s="738"/>
      <c r="P228" s="311"/>
      <c r="Q228" s="311"/>
      <c r="R228" s="311"/>
      <c r="S228" s="311"/>
      <c r="T228" s="311"/>
      <c r="U228" s="311"/>
      <c r="V228" s="311"/>
      <c r="W228" s="311"/>
      <c r="X228" s="311"/>
      <c r="Y228" s="311"/>
      <c r="Z228" s="311"/>
      <c r="AA228" s="311"/>
      <c r="AB228" s="311"/>
      <c r="AC228" s="311"/>
    </row>
    <row r="229" spans="1:34" ht="15.75" x14ac:dyDescent="0.25">
      <c r="A229" s="738"/>
      <c r="B229" s="738"/>
      <c r="C229" s="738"/>
      <c r="D229" s="738"/>
      <c r="E229" s="738"/>
      <c r="F229" s="738"/>
      <c r="G229" s="738"/>
      <c r="H229" s="738"/>
      <c r="I229" s="804"/>
      <c r="J229" s="804"/>
      <c r="K229" s="806">
        <v>2020</v>
      </c>
      <c r="L229" s="807">
        <v>3814</v>
      </c>
      <c r="M229" s="738"/>
      <c r="N229" s="738"/>
      <c r="O229" s="738"/>
      <c r="P229" s="311"/>
      <c r="Q229" s="311"/>
      <c r="R229" s="311"/>
      <c r="S229" s="311"/>
      <c r="T229" s="311"/>
      <c r="U229" s="311"/>
      <c r="V229" s="311"/>
      <c r="W229" s="311"/>
      <c r="X229" s="311"/>
      <c r="Y229" s="311"/>
      <c r="Z229" s="311"/>
      <c r="AA229" s="311"/>
      <c r="AB229" s="311"/>
      <c r="AC229" s="311"/>
    </row>
    <row r="230" spans="1:34" ht="15.75" x14ac:dyDescent="0.25">
      <c r="A230" s="738"/>
      <c r="B230" s="738"/>
      <c r="C230" s="738"/>
      <c r="D230" s="738"/>
      <c r="E230" s="738"/>
      <c r="F230" s="738"/>
      <c r="G230" s="738"/>
      <c r="H230" s="738"/>
      <c r="I230" s="738"/>
      <c r="J230" s="738"/>
      <c r="K230" s="808" t="s">
        <v>292</v>
      </c>
      <c r="L230" s="809">
        <f>SUM(L222:L229)</f>
        <v>15985</v>
      </c>
      <c r="M230" s="738"/>
      <c r="N230" s="738"/>
      <c r="O230" s="738"/>
      <c r="P230" s="311"/>
      <c r="Q230" s="311"/>
      <c r="R230" s="311"/>
      <c r="S230" s="311"/>
      <c r="T230" s="311"/>
      <c r="U230" s="311"/>
      <c r="V230" s="311"/>
      <c r="W230" s="311"/>
      <c r="X230" s="311"/>
      <c r="Y230" s="311"/>
      <c r="Z230" s="311"/>
      <c r="AA230" s="311"/>
      <c r="AB230" s="311"/>
      <c r="AC230" s="311"/>
    </row>
    <row r="231" spans="1:34" ht="15.75" x14ac:dyDescent="0.25">
      <c r="A231" s="738"/>
      <c r="B231" s="738"/>
      <c r="C231" s="738"/>
      <c r="D231" s="738"/>
      <c r="E231" s="738"/>
      <c r="F231" s="738"/>
      <c r="G231" s="738"/>
      <c r="H231" s="738"/>
      <c r="I231" s="738"/>
      <c r="J231" s="738"/>
      <c r="K231" s="808"/>
      <c r="L231" s="809"/>
      <c r="M231" s="738"/>
      <c r="N231" s="738"/>
      <c r="O231" s="738"/>
      <c r="P231" s="311"/>
      <c r="Q231" s="311"/>
      <c r="R231" s="311"/>
      <c r="S231" s="311"/>
      <c r="T231" s="311"/>
      <c r="U231" s="311"/>
      <c r="V231" s="311"/>
      <c r="W231" s="311"/>
      <c r="X231" s="311"/>
      <c r="Y231" s="311"/>
      <c r="Z231" s="311"/>
      <c r="AA231" s="311"/>
      <c r="AB231" s="311"/>
      <c r="AC231" s="311"/>
    </row>
    <row r="232" spans="1:34" ht="23.25" x14ac:dyDescent="0.35">
      <c r="A232" s="288" t="s">
        <v>604</v>
      </c>
      <c r="B232" s="278"/>
      <c r="C232" s="279"/>
      <c r="D232" s="279"/>
      <c r="E232" s="280"/>
      <c r="F232" s="281"/>
      <c r="G232" s="281"/>
      <c r="H232" s="282"/>
      <c r="I232" s="282"/>
      <c r="J232" s="21"/>
      <c r="K232" s="21"/>
      <c r="L232" s="21"/>
      <c r="M232" s="283"/>
      <c r="N232" s="283"/>
      <c r="O232" s="283"/>
      <c r="P232" s="21"/>
      <c r="Q232" s="281"/>
      <c r="R232" s="281"/>
      <c r="S232" s="281"/>
      <c r="T232" s="284"/>
      <c r="U232" s="284"/>
      <c r="V232" s="284"/>
      <c r="W232" s="284"/>
      <c r="X232" s="284"/>
      <c r="Y232" s="284"/>
      <c r="Z232" s="284"/>
      <c r="AA232" s="284"/>
      <c r="AH232" s="792"/>
    </row>
    <row r="233" spans="1:34" s="3" customFormat="1" ht="15.75" x14ac:dyDescent="0.25">
      <c r="A233" s="1676"/>
      <c r="B233" s="1677"/>
      <c r="C233" s="1299"/>
      <c r="D233" s="1299"/>
      <c r="E233" s="1300"/>
      <c r="F233" s="1300"/>
      <c r="G233" s="1300"/>
      <c r="H233" s="1301"/>
      <c r="I233" s="1301"/>
      <c r="J233" s="1212"/>
      <c r="K233" s="1212"/>
      <c r="L233" s="1212"/>
      <c r="M233" s="1302"/>
      <c r="N233" s="1302"/>
      <c r="O233" s="1302"/>
      <c r="P233" s="17"/>
      <c r="Q233" s="276"/>
      <c r="R233" s="276"/>
      <c r="S233" s="276"/>
      <c r="T233" s="277"/>
      <c r="U233" s="277"/>
      <c r="V233" s="277"/>
      <c r="W233" s="277"/>
      <c r="Y233"/>
      <c r="Z233"/>
      <c r="AA233"/>
      <c r="AB233"/>
      <c r="AC233"/>
      <c r="AD233"/>
      <c r="AE233" s="399"/>
    </row>
    <row r="234" spans="1:34" ht="112.5" customHeight="1" x14ac:dyDescent="0.25">
      <c r="A234" s="1678" t="s">
        <v>580</v>
      </c>
      <c r="B234" s="1679" t="s">
        <v>581</v>
      </c>
      <c r="C234" s="1680" t="s">
        <v>586</v>
      </c>
      <c r="D234" s="1679"/>
      <c r="E234" s="1679" t="s">
        <v>582</v>
      </c>
      <c r="F234" s="1679" t="s">
        <v>583</v>
      </c>
      <c r="G234" s="1679" t="s">
        <v>584</v>
      </c>
      <c r="H234" s="1681" t="s">
        <v>587</v>
      </c>
      <c r="I234" s="1682" t="s">
        <v>580</v>
      </c>
      <c r="J234" s="1681" t="s">
        <v>590</v>
      </c>
      <c r="K234" s="1679" t="s">
        <v>588</v>
      </c>
      <c r="L234" s="1679" t="s">
        <v>582</v>
      </c>
      <c r="M234" s="1679" t="s">
        <v>583</v>
      </c>
      <c r="N234" s="1679" t="s">
        <v>584</v>
      </c>
      <c r="O234" s="1683" t="s">
        <v>585</v>
      </c>
    </row>
    <row r="235" spans="1:34" ht="15.75" x14ac:dyDescent="0.25">
      <c r="A235" s="1684">
        <v>2003</v>
      </c>
      <c r="B235" s="1679"/>
      <c r="C235" s="1681"/>
      <c r="D235" s="1679"/>
      <c r="E235" s="1679"/>
      <c r="F235" s="1679"/>
      <c r="G235" s="1679"/>
      <c r="H235" s="1681"/>
      <c r="I235" s="1685">
        <v>2003</v>
      </c>
      <c r="J235" s="105">
        <f>+Resultaatgrafiek!U124</f>
        <v>553.33333333333337</v>
      </c>
      <c r="K235" s="1679"/>
      <c r="L235" s="105">
        <f t="shared" ref="L235:L246" si="55">B235*E235/100*$L$287</f>
        <v>0</v>
      </c>
      <c r="M235" s="105">
        <f t="shared" ref="M235:M282" si="56">B235*F235/100*$M$287</f>
        <v>0</v>
      </c>
      <c r="N235" s="105">
        <f t="shared" ref="N235:N282" si="57">B235*G235/100*$N$287</f>
        <v>0</v>
      </c>
      <c r="O235" s="105">
        <f t="shared" ref="O235:O282" si="58">SUM(J235:N235)</f>
        <v>553.33333333333337</v>
      </c>
      <c r="P235" s="298"/>
    </row>
    <row r="236" spans="1:34" ht="15.75" x14ac:dyDescent="0.25">
      <c r="A236" s="1684">
        <v>2004</v>
      </c>
      <c r="B236" s="1679"/>
      <c r="C236" s="1681"/>
      <c r="D236" s="1679"/>
      <c r="E236" s="1679"/>
      <c r="F236" s="1679"/>
      <c r="G236" s="1679"/>
      <c r="H236" s="1681"/>
      <c r="I236" s="1685">
        <v>2004</v>
      </c>
      <c r="J236" s="105">
        <f>+Resultaatgrafiek!U125</f>
        <v>620.52635755410347</v>
      </c>
      <c r="K236" s="1679"/>
      <c r="L236" s="105">
        <f t="shared" si="55"/>
        <v>0</v>
      </c>
      <c r="M236" s="105">
        <f t="shared" si="56"/>
        <v>0</v>
      </c>
      <c r="N236" s="105">
        <f t="shared" si="57"/>
        <v>0</v>
      </c>
      <c r="O236" s="105">
        <f t="shared" si="58"/>
        <v>620.52635755410347</v>
      </c>
      <c r="P236" s="298"/>
    </row>
    <row r="237" spans="1:34" ht="15.75" x14ac:dyDescent="0.25">
      <c r="A237" s="1684">
        <v>2005</v>
      </c>
      <c r="B237" s="1679"/>
      <c r="C237" s="1681"/>
      <c r="D237" s="1679"/>
      <c r="E237" s="1679"/>
      <c r="F237" s="1679"/>
      <c r="G237" s="1679"/>
      <c r="H237" s="1681"/>
      <c r="I237" s="1685">
        <v>2005</v>
      </c>
      <c r="J237" s="105">
        <f>+Resultaatgrafiek!U126</f>
        <v>640.44049714269943</v>
      </c>
      <c r="K237" s="1679"/>
      <c r="L237" s="105">
        <f t="shared" si="55"/>
        <v>0</v>
      </c>
      <c r="M237" s="105">
        <f t="shared" si="56"/>
        <v>0</v>
      </c>
      <c r="N237" s="105">
        <f t="shared" si="57"/>
        <v>0</v>
      </c>
      <c r="O237" s="105">
        <f t="shared" si="58"/>
        <v>640.44049714269943</v>
      </c>
      <c r="P237" s="298"/>
    </row>
    <row r="238" spans="1:34" ht="15.75" x14ac:dyDescent="0.25">
      <c r="A238" s="1684">
        <v>2006</v>
      </c>
      <c r="B238" s="1679"/>
      <c r="C238" s="1681"/>
      <c r="D238" s="1679"/>
      <c r="E238" s="1679"/>
      <c r="F238" s="1679"/>
      <c r="G238" s="1679"/>
      <c r="H238" s="1681"/>
      <c r="I238" s="1685">
        <v>2006</v>
      </c>
      <c r="J238" s="105">
        <f>+Resultaatgrafiek!U127</f>
        <v>660.24460157469309</v>
      </c>
      <c r="K238" s="1679"/>
      <c r="L238" s="105">
        <f t="shared" si="55"/>
        <v>0</v>
      </c>
      <c r="M238" s="105">
        <f t="shared" si="56"/>
        <v>0</v>
      </c>
      <c r="N238" s="105">
        <f t="shared" si="57"/>
        <v>0</v>
      </c>
      <c r="O238" s="105">
        <f t="shared" si="58"/>
        <v>660.24460157469309</v>
      </c>
      <c r="P238" s="298"/>
    </row>
    <row r="239" spans="1:34" ht="15.75" x14ac:dyDescent="0.25">
      <c r="A239" s="1684">
        <v>2007</v>
      </c>
      <c r="B239" s="1679"/>
      <c r="C239" s="1681"/>
      <c r="D239" s="1679"/>
      <c r="E239" s="1679"/>
      <c r="F239" s="1679"/>
      <c r="G239" s="1679"/>
      <c r="H239" s="1681"/>
      <c r="I239" s="1685">
        <v>2007</v>
      </c>
      <c r="J239" s="105">
        <f>+Resultaatgrafiek!U128</f>
        <v>742.38243759850911</v>
      </c>
      <c r="K239" s="1679"/>
      <c r="L239" s="105">
        <f t="shared" si="55"/>
        <v>0</v>
      </c>
      <c r="M239" s="105">
        <f t="shared" si="56"/>
        <v>0</v>
      </c>
      <c r="N239" s="105">
        <f t="shared" si="57"/>
        <v>0</v>
      </c>
      <c r="O239" s="105">
        <f t="shared" si="58"/>
        <v>742.38243759850911</v>
      </c>
      <c r="P239" s="298"/>
    </row>
    <row r="240" spans="1:34" ht="15.75" x14ac:dyDescent="0.25">
      <c r="A240" s="1684">
        <v>2008</v>
      </c>
      <c r="B240" s="1679"/>
      <c r="C240" s="1681"/>
      <c r="D240" s="1679"/>
      <c r="E240" s="1679"/>
      <c r="F240" s="1679"/>
      <c r="G240" s="1679"/>
      <c r="H240" s="1681"/>
      <c r="I240" s="1685">
        <v>2008</v>
      </c>
      <c r="J240" s="105">
        <f>+Resultaatgrafiek!U129</f>
        <v>886.51350252050634</v>
      </c>
      <c r="K240" s="1679"/>
      <c r="L240" s="105">
        <f t="shared" si="55"/>
        <v>0</v>
      </c>
      <c r="M240" s="105">
        <f t="shared" si="56"/>
        <v>0</v>
      </c>
      <c r="N240" s="105">
        <f t="shared" si="57"/>
        <v>0</v>
      </c>
      <c r="O240" s="105">
        <f t="shared" si="58"/>
        <v>886.51350252050634</v>
      </c>
      <c r="P240" s="298"/>
    </row>
    <row r="241" spans="1:17" ht="15.75" x14ac:dyDescent="0.25">
      <c r="A241" s="1684">
        <v>2009</v>
      </c>
      <c r="B241" s="1679"/>
      <c r="C241" s="1681"/>
      <c r="D241" s="1679"/>
      <c r="E241" s="1679"/>
      <c r="F241" s="1679"/>
      <c r="G241" s="1679"/>
      <c r="H241" s="1681"/>
      <c r="I241" s="1685">
        <v>2009</v>
      </c>
      <c r="J241" s="105">
        <f>+Resultaatgrafiek!U130</f>
        <v>1410.1545162845659</v>
      </c>
      <c r="K241" s="1679"/>
      <c r="L241" s="105">
        <f t="shared" si="55"/>
        <v>0</v>
      </c>
      <c r="M241" s="105">
        <f t="shared" si="56"/>
        <v>0</v>
      </c>
      <c r="N241" s="105">
        <f t="shared" si="57"/>
        <v>0</v>
      </c>
      <c r="O241" s="105">
        <f t="shared" si="58"/>
        <v>1410.1545162845659</v>
      </c>
      <c r="P241" s="298"/>
    </row>
    <row r="242" spans="1:17" ht="15.75" x14ac:dyDescent="0.25">
      <c r="A242" s="1684">
        <v>2010</v>
      </c>
      <c r="B242" s="1679"/>
      <c r="C242" s="1681"/>
      <c r="D242" s="1679"/>
      <c r="E242" s="1679"/>
      <c r="F242" s="1679"/>
      <c r="G242" s="1679"/>
      <c r="H242" s="1681"/>
      <c r="I242" s="1685">
        <v>2010</v>
      </c>
      <c r="J242" s="105">
        <f>+Resultaatgrafiek!U131</f>
        <v>1860.6109101830841</v>
      </c>
      <c r="K242" s="1679"/>
      <c r="L242" s="105">
        <f t="shared" si="55"/>
        <v>0</v>
      </c>
      <c r="M242" s="105">
        <f t="shared" si="56"/>
        <v>0</v>
      </c>
      <c r="N242" s="105">
        <f t="shared" si="57"/>
        <v>0</v>
      </c>
      <c r="O242" s="105">
        <f t="shared" si="58"/>
        <v>1860.6109101830841</v>
      </c>
      <c r="P242" s="298"/>
    </row>
    <row r="243" spans="1:17" ht="15.75" x14ac:dyDescent="0.25">
      <c r="A243" s="1684">
        <v>2011</v>
      </c>
      <c r="B243" s="1679"/>
      <c r="C243" s="1681"/>
      <c r="D243" s="1679"/>
      <c r="E243" s="1679"/>
      <c r="F243" s="1679"/>
      <c r="G243" s="1679"/>
      <c r="H243" s="1681"/>
      <c r="I243" s="1685">
        <v>2011</v>
      </c>
      <c r="J243" s="105">
        <f>+Resultaatgrafiek!U132</f>
        <v>2391.2577233621291</v>
      </c>
      <c r="K243" s="1679"/>
      <c r="L243" s="105">
        <f t="shared" si="55"/>
        <v>0</v>
      </c>
      <c r="M243" s="105">
        <f t="shared" si="56"/>
        <v>0</v>
      </c>
      <c r="N243" s="105">
        <f t="shared" si="57"/>
        <v>0</v>
      </c>
      <c r="O243" s="105">
        <f t="shared" si="58"/>
        <v>2391.2577233621291</v>
      </c>
      <c r="P243" s="298"/>
    </row>
    <row r="244" spans="1:17" ht="15.75" x14ac:dyDescent="0.25">
      <c r="A244" s="1684">
        <v>2012</v>
      </c>
      <c r="B244" s="1679"/>
      <c r="C244" s="1681"/>
      <c r="D244" s="1679"/>
      <c r="E244" s="1679"/>
      <c r="F244" s="1679"/>
      <c r="G244" s="1679"/>
      <c r="H244" s="1681"/>
      <c r="I244" s="1685">
        <v>2012</v>
      </c>
      <c r="J244" s="105">
        <f>+Resultaatgrafiek!U133</f>
        <v>2721.2359303584772</v>
      </c>
      <c r="K244" s="1679"/>
      <c r="L244" s="105">
        <f t="shared" si="55"/>
        <v>0</v>
      </c>
      <c r="M244" s="105">
        <f t="shared" si="56"/>
        <v>0</v>
      </c>
      <c r="N244" s="105">
        <f t="shared" si="57"/>
        <v>0</v>
      </c>
      <c r="O244" s="105">
        <f t="shared" si="58"/>
        <v>2721.2359303584772</v>
      </c>
      <c r="P244" s="298"/>
    </row>
    <row r="245" spans="1:17" ht="15.75" x14ac:dyDescent="0.25">
      <c r="A245" s="1684">
        <v>2013</v>
      </c>
      <c r="B245" s="1679"/>
      <c r="C245" s="1681"/>
      <c r="D245" s="1679"/>
      <c r="E245" s="1679"/>
      <c r="F245" s="1679"/>
      <c r="G245" s="1679"/>
      <c r="H245" s="1681"/>
      <c r="I245" s="1685">
        <v>2013</v>
      </c>
      <c r="J245" s="105">
        <f>+Resultaatgrafiek!U134</f>
        <v>3918.1474908652685</v>
      </c>
      <c r="K245" s="1679"/>
      <c r="L245" s="105">
        <f t="shared" si="55"/>
        <v>0</v>
      </c>
      <c r="M245" s="105">
        <f t="shared" si="56"/>
        <v>0</v>
      </c>
      <c r="N245" s="105">
        <f t="shared" si="57"/>
        <v>0</v>
      </c>
      <c r="O245" s="105">
        <f t="shared" si="58"/>
        <v>3918.1474908652685</v>
      </c>
      <c r="P245" s="298"/>
    </row>
    <row r="246" spans="1:17" ht="15.75" x14ac:dyDescent="0.25">
      <c r="A246" s="1684">
        <v>2014</v>
      </c>
      <c r="B246" s="1679"/>
      <c r="C246" s="1681"/>
      <c r="D246" s="1679"/>
      <c r="E246" s="1679"/>
      <c r="F246" s="1679"/>
      <c r="G246" s="1679"/>
      <c r="H246" s="1681"/>
      <c r="I246" s="1685">
        <v>2014</v>
      </c>
      <c r="J246" s="105">
        <f>+Resultaatgrafiek!U135</f>
        <v>3100.5632796714858</v>
      </c>
      <c r="K246" s="1679"/>
      <c r="L246" s="105">
        <f t="shared" si="55"/>
        <v>0</v>
      </c>
      <c r="M246" s="105">
        <f t="shared" si="56"/>
        <v>0</v>
      </c>
      <c r="N246" s="105">
        <f t="shared" si="57"/>
        <v>0</v>
      </c>
      <c r="O246" s="105">
        <f t="shared" si="58"/>
        <v>3100.5632796714858</v>
      </c>
      <c r="P246" s="298"/>
    </row>
    <row r="247" spans="1:17" ht="15.75" x14ac:dyDescent="0.25">
      <c r="A247" s="1684">
        <v>2015</v>
      </c>
      <c r="B247" s="1686"/>
      <c r="C247" s="1687"/>
      <c r="D247" s="507"/>
      <c r="E247" s="64"/>
      <c r="F247" s="507"/>
      <c r="G247" s="507"/>
      <c r="H247" s="507"/>
      <c r="I247" s="1685">
        <v>2015</v>
      </c>
      <c r="J247" s="105">
        <f>+Resultaatgrafiek!U136</f>
        <v>3031.573632610573</v>
      </c>
      <c r="K247" s="105"/>
      <c r="L247" s="105">
        <f t="shared" ref="L247:L282" si="59">B247*E247/100*$L$287</f>
        <v>0</v>
      </c>
      <c r="M247" s="105">
        <f t="shared" si="56"/>
        <v>0</v>
      </c>
      <c r="N247" s="105">
        <f t="shared" si="57"/>
        <v>0</v>
      </c>
      <c r="O247" s="105">
        <f t="shared" si="58"/>
        <v>3031.573632610573</v>
      </c>
      <c r="P247" s="298"/>
    </row>
    <row r="248" spans="1:17" ht="15.75" x14ac:dyDescent="0.25">
      <c r="A248" s="1684">
        <v>2016</v>
      </c>
      <c r="B248" s="1688"/>
      <c r="C248" s="1687"/>
      <c r="D248" s="507"/>
      <c r="E248" s="64"/>
      <c r="F248" s="507"/>
      <c r="G248" s="507"/>
      <c r="H248" s="507"/>
      <c r="I248" s="1685">
        <v>2016</v>
      </c>
      <c r="J248" s="105">
        <f>+Resultaatgrafiek!U137</f>
        <v>3679.0668618788777</v>
      </c>
      <c r="K248" s="105"/>
      <c r="L248" s="105">
        <f>B248*E248/100*$L$287</f>
        <v>0</v>
      </c>
      <c r="M248" s="105">
        <f t="shared" si="56"/>
        <v>0</v>
      </c>
      <c r="N248" s="105">
        <f t="shared" si="57"/>
        <v>0</v>
      </c>
      <c r="O248" s="105">
        <f t="shared" si="58"/>
        <v>3679.0668618788777</v>
      </c>
      <c r="P248" s="298"/>
    </row>
    <row r="249" spans="1:17" ht="15.75" x14ac:dyDescent="0.25">
      <c r="A249" s="1684">
        <v>2017</v>
      </c>
      <c r="B249" s="1688"/>
      <c r="C249" s="1687"/>
      <c r="D249" s="507"/>
      <c r="E249" s="64"/>
      <c r="F249" s="507"/>
      <c r="G249" s="507"/>
      <c r="H249" s="507"/>
      <c r="I249" s="1685">
        <v>2017</v>
      </c>
      <c r="J249" s="105">
        <f>+Resultaatgrafiek!U138</f>
        <v>5054.3648370653191</v>
      </c>
      <c r="K249" s="105"/>
      <c r="L249" s="105">
        <f t="shared" si="59"/>
        <v>0</v>
      </c>
      <c r="M249" s="105">
        <f t="shared" si="56"/>
        <v>0</v>
      </c>
      <c r="N249" s="105">
        <f t="shared" si="57"/>
        <v>0</v>
      </c>
      <c r="O249" s="105">
        <f t="shared" si="58"/>
        <v>5054.3648370653191</v>
      </c>
      <c r="P249" s="298"/>
    </row>
    <row r="250" spans="1:17" ht="15.75" x14ac:dyDescent="0.25">
      <c r="A250" s="1684">
        <v>2018</v>
      </c>
      <c r="B250" s="1688"/>
      <c r="C250" s="1687"/>
      <c r="D250" s="507"/>
      <c r="E250" s="64"/>
      <c r="F250" s="507"/>
      <c r="G250" s="507"/>
      <c r="H250" s="507"/>
      <c r="I250" s="1685">
        <v>2018</v>
      </c>
      <c r="J250" s="105">
        <f>+Resultaatgrafiek!U139</f>
        <v>5806.2897019640614</v>
      </c>
      <c r="K250" s="105"/>
      <c r="L250" s="105">
        <f t="shared" si="59"/>
        <v>0</v>
      </c>
      <c r="M250" s="105">
        <f t="shared" si="56"/>
        <v>0</v>
      </c>
      <c r="N250" s="105">
        <f t="shared" si="57"/>
        <v>0</v>
      </c>
      <c r="O250" s="105">
        <f t="shared" si="58"/>
        <v>5806.2897019640614</v>
      </c>
      <c r="P250" s="298"/>
    </row>
    <row r="251" spans="1:17" ht="15.75" x14ac:dyDescent="0.25">
      <c r="A251" s="1684">
        <v>2019</v>
      </c>
      <c r="B251" s="1688"/>
      <c r="C251" s="1687"/>
      <c r="D251" s="507"/>
      <c r="E251" s="64"/>
      <c r="F251" s="507"/>
      <c r="G251" s="507"/>
      <c r="H251" s="507"/>
      <c r="I251" s="1685">
        <v>2019</v>
      </c>
      <c r="J251" s="105">
        <f>+Resultaatgrafiek!U140</f>
        <v>6142.1397691070279</v>
      </c>
      <c r="K251" s="105"/>
      <c r="L251" s="105">
        <f t="shared" si="59"/>
        <v>0</v>
      </c>
      <c r="M251" s="105">
        <f t="shared" si="56"/>
        <v>0</v>
      </c>
      <c r="N251" s="105">
        <f t="shared" si="57"/>
        <v>0</v>
      </c>
      <c r="O251" s="105">
        <f t="shared" si="58"/>
        <v>6142.1397691070279</v>
      </c>
      <c r="P251" s="298"/>
    </row>
    <row r="252" spans="1:17" ht="15.75" x14ac:dyDescent="0.25">
      <c r="A252" s="1689">
        <v>2020</v>
      </c>
      <c r="B252" s="1690">
        <f>+'%Hernieuwbaar'!C3*100</f>
        <v>12.891856099009901</v>
      </c>
      <c r="C252" s="1691"/>
      <c r="D252" s="1691"/>
      <c r="E252" s="1692"/>
      <c r="F252" s="1691"/>
      <c r="G252" s="1691"/>
      <c r="H252" s="1691"/>
      <c r="I252" s="1693">
        <v>2020</v>
      </c>
      <c r="J252" s="1694">
        <f>+Resultaatgrafiek!U141</f>
        <v>6762.8305862499938</v>
      </c>
      <c r="K252" s="1694"/>
      <c r="L252" s="1694">
        <f t="shared" si="59"/>
        <v>0</v>
      </c>
      <c r="M252" s="1694">
        <f t="shared" si="56"/>
        <v>0</v>
      </c>
      <c r="N252" s="1694">
        <f t="shared" si="57"/>
        <v>0</v>
      </c>
      <c r="O252" s="1694">
        <f t="shared" si="58"/>
        <v>6762.8305862499938</v>
      </c>
      <c r="P252" s="298"/>
      <c r="Q252" s="298"/>
    </row>
    <row r="253" spans="1:17" ht="15.75" x14ac:dyDescent="0.25">
      <c r="A253" s="1684">
        <v>2021</v>
      </c>
      <c r="B253" s="1688">
        <f>B252+($B$255-$B$252)/3</f>
        <v>13.373831227722773</v>
      </c>
      <c r="C253" s="1695">
        <f>100*J253/$J$252*$B$252/B253</f>
        <v>74.480549356094158</v>
      </c>
      <c r="D253" s="507"/>
      <c r="E253" s="507">
        <f>100-C253</f>
        <v>25.519450643905842</v>
      </c>
      <c r="F253" s="507"/>
      <c r="G253" s="507"/>
      <c r="H253" s="507">
        <f t="shared" ref="H253:H282" si="60">SUM(C253:G253)</f>
        <v>100</v>
      </c>
      <c r="I253" s="1685">
        <v>2021</v>
      </c>
      <c r="J253" s="105">
        <f>+Resultaatgrafiek!U142</f>
        <v>5225.3064837032543</v>
      </c>
      <c r="K253" s="105"/>
      <c r="L253" s="105">
        <f>B253*(E253/100)*$L$287</f>
        <v>779.54241017021081</v>
      </c>
      <c r="M253" s="105">
        <f t="shared" si="56"/>
        <v>0</v>
      </c>
      <c r="N253" s="105">
        <f t="shared" si="57"/>
        <v>0</v>
      </c>
      <c r="O253" s="105">
        <f t="shared" si="58"/>
        <v>6004.8488938734654</v>
      </c>
      <c r="P253" s="298"/>
    </row>
    <row r="254" spans="1:17" ht="15.75" x14ac:dyDescent="0.25">
      <c r="A254" s="1684">
        <v>2022</v>
      </c>
      <c r="B254" s="1688">
        <f>B253+($B$255-$B$252)/3</f>
        <v>13.855806356435645</v>
      </c>
      <c r="C254" s="1687">
        <f t="shared" ref="C254:C271" si="61">100*J254/$J$252*$B$252/B254</f>
        <v>65.383980804710276</v>
      </c>
      <c r="D254" s="507"/>
      <c r="E254" s="507">
        <f>100-C254</f>
        <v>34.616019195289724</v>
      </c>
      <c r="F254" s="507"/>
      <c r="G254" s="507"/>
      <c r="H254" s="507">
        <f t="shared" si="60"/>
        <v>100</v>
      </c>
      <c r="I254" s="1685">
        <v>2022</v>
      </c>
      <c r="J254" s="105">
        <f>+Resultaatgrafiek!U143</f>
        <v>4752.4354039674436</v>
      </c>
      <c r="K254" s="105"/>
      <c r="L254" s="105">
        <f t="shared" si="59"/>
        <v>1095.5230416023394</v>
      </c>
      <c r="M254" s="105">
        <f t="shared" si="56"/>
        <v>0</v>
      </c>
      <c r="N254" s="105">
        <f t="shared" si="57"/>
        <v>0</v>
      </c>
      <c r="O254" s="105">
        <f t="shared" si="58"/>
        <v>5847.9584455697832</v>
      </c>
      <c r="P254" s="298"/>
    </row>
    <row r="255" spans="1:17" ht="15.75" x14ac:dyDescent="0.25">
      <c r="A255" s="1689">
        <v>2023</v>
      </c>
      <c r="B255" s="1690">
        <f>+'%Hernieuwbaar'!C4*100</f>
        <v>14.337781485148515</v>
      </c>
      <c r="C255" s="1687">
        <f t="shared" si="61"/>
        <v>64.54390595940184</v>
      </c>
      <c r="D255" s="1691"/>
      <c r="E255" s="1691">
        <f>100-C255</f>
        <v>35.45609404059816</v>
      </c>
      <c r="F255" s="1691"/>
      <c r="G255" s="1691"/>
      <c r="H255" s="1691">
        <f t="shared" si="60"/>
        <v>100</v>
      </c>
      <c r="I255" s="1693">
        <v>2023</v>
      </c>
      <c r="J255" s="1694">
        <f>+Resultaatgrafiek!U144</f>
        <v>4854.5643242316337</v>
      </c>
      <c r="K255" s="1694"/>
      <c r="L255" s="1694">
        <f t="shared" si="59"/>
        <v>1161.1422716544666</v>
      </c>
      <c r="M255" s="1694">
        <f t="shared" si="56"/>
        <v>0</v>
      </c>
      <c r="N255" s="1694">
        <f t="shared" si="57"/>
        <v>0</v>
      </c>
      <c r="O255" s="1694">
        <f t="shared" si="58"/>
        <v>6015.7065958861003</v>
      </c>
      <c r="P255" s="298"/>
    </row>
    <row r="256" spans="1:17" ht="15.75" x14ac:dyDescent="0.25">
      <c r="A256" s="1684">
        <v>2024</v>
      </c>
      <c r="B256" s="1688">
        <f t="shared" ref="B256:B261" si="62">B255+($B$262-$B$255)/7</f>
        <v>16.146669844413012</v>
      </c>
      <c r="C256" s="1687">
        <f t="shared" si="61"/>
        <v>56.998596518042078</v>
      </c>
      <c r="D256" s="507"/>
      <c r="E256" s="507">
        <f t="shared" ref="E256:E262" si="63">100-C256</f>
        <v>43.001403481957922</v>
      </c>
      <c r="F256" s="507"/>
      <c r="G256" s="507"/>
      <c r="H256" s="507">
        <f t="shared" si="60"/>
        <v>100</v>
      </c>
      <c r="I256" s="1685">
        <v>2024</v>
      </c>
      <c r="J256" s="105">
        <f>+Resultaatgrafiek!U145</f>
        <v>4827.9213475794149</v>
      </c>
      <c r="K256" s="105"/>
      <c r="L256" s="105">
        <f t="shared" si="59"/>
        <v>1585.9087076106116</v>
      </c>
      <c r="M256" s="105">
        <f t="shared" si="56"/>
        <v>0</v>
      </c>
      <c r="N256" s="105">
        <f t="shared" si="57"/>
        <v>0</v>
      </c>
      <c r="O256" s="105">
        <f t="shared" si="58"/>
        <v>6413.8300551900265</v>
      </c>
      <c r="P256" s="298"/>
    </row>
    <row r="257" spans="1:39" ht="15.75" x14ac:dyDescent="0.25">
      <c r="A257" s="1684">
        <v>2025</v>
      </c>
      <c r="B257" s="1688">
        <f t="shared" si="62"/>
        <v>17.955558203677509</v>
      </c>
      <c r="C257" s="1687">
        <f t="shared" si="61"/>
        <v>50.97355420073405</v>
      </c>
      <c r="D257" s="507"/>
      <c r="E257" s="507">
        <f t="shared" si="63"/>
        <v>49.02644579926595</v>
      </c>
      <c r="F257" s="507"/>
      <c r="G257" s="507"/>
      <c r="H257" s="507">
        <f t="shared" si="60"/>
        <v>100</v>
      </c>
      <c r="I257" s="1685">
        <v>2025</v>
      </c>
      <c r="J257" s="105">
        <f>+Resultaatgrafiek!U146</f>
        <v>4801.2783709271953</v>
      </c>
      <c r="K257" s="105"/>
      <c r="L257" s="105">
        <f t="shared" si="59"/>
        <v>2010.6751435667563</v>
      </c>
      <c r="M257" s="105">
        <f t="shared" si="56"/>
        <v>0</v>
      </c>
      <c r="N257" s="105">
        <f t="shared" si="57"/>
        <v>0</v>
      </c>
      <c r="O257" s="105">
        <f t="shared" si="58"/>
        <v>6811.9535144939518</v>
      </c>
      <c r="P257" s="298"/>
    </row>
    <row r="258" spans="1:39" ht="15.75" x14ac:dyDescent="0.25">
      <c r="A258" s="1684">
        <v>2026</v>
      </c>
      <c r="B258" s="1688">
        <f t="shared" si="62"/>
        <v>19.764446562942005</v>
      </c>
      <c r="C258" s="1687">
        <f t="shared" si="61"/>
        <v>41.128394472693827</v>
      </c>
      <c r="D258" s="507"/>
      <c r="E258" s="507">
        <f t="shared" si="63"/>
        <v>58.871605527306173</v>
      </c>
      <c r="F258" s="507"/>
      <c r="G258" s="507"/>
      <c r="H258" s="507">
        <f t="shared" si="60"/>
        <v>100</v>
      </c>
      <c r="I258" s="1685">
        <v>2026</v>
      </c>
      <c r="J258" s="105">
        <f>+Resultaatgrafiek!U147</f>
        <v>4264.2187276083077</v>
      </c>
      <c r="K258" s="105"/>
      <c r="L258" s="105">
        <f t="shared" si="59"/>
        <v>2657.6826785739886</v>
      </c>
      <c r="M258" s="105">
        <f t="shared" si="56"/>
        <v>0</v>
      </c>
      <c r="N258" s="105">
        <f t="shared" si="57"/>
        <v>0</v>
      </c>
      <c r="O258" s="105">
        <f t="shared" si="58"/>
        <v>6921.9014061822963</v>
      </c>
      <c r="P258" s="298"/>
    </row>
    <row r="259" spans="1:39" ht="15.75" x14ac:dyDescent="0.25">
      <c r="A259" s="1684">
        <v>2027</v>
      </c>
      <c r="B259" s="1688">
        <f t="shared" si="62"/>
        <v>21.573334922206502</v>
      </c>
      <c r="C259" s="1687">
        <f t="shared" si="61"/>
        <v>37.444421894711461</v>
      </c>
      <c r="D259" s="507"/>
      <c r="E259" s="507">
        <f t="shared" si="63"/>
        <v>62.555578105288539</v>
      </c>
      <c r="F259" s="507"/>
      <c r="G259" s="507"/>
      <c r="H259" s="507">
        <f t="shared" si="60"/>
        <v>100</v>
      </c>
      <c r="I259" s="1685">
        <v>2027</v>
      </c>
      <c r="J259" s="105">
        <f>+Resultaatgrafiek!U148</f>
        <v>4237.575750956089</v>
      </c>
      <c r="K259" s="105"/>
      <c r="L259" s="105">
        <f t="shared" si="59"/>
        <v>3082.4491145301331</v>
      </c>
      <c r="M259" s="105">
        <f t="shared" si="56"/>
        <v>0</v>
      </c>
      <c r="N259" s="105">
        <f t="shared" si="57"/>
        <v>0</v>
      </c>
      <c r="O259" s="105">
        <f t="shared" si="58"/>
        <v>7320.0248654862226</v>
      </c>
      <c r="P259" s="298"/>
    </row>
    <row r="260" spans="1:39" ht="15.75" x14ac:dyDescent="0.25">
      <c r="A260" s="1684">
        <v>2028</v>
      </c>
      <c r="B260" s="1688">
        <f t="shared" si="62"/>
        <v>23.382223281470999</v>
      </c>
      <c r="C260" s="1687">
        <f t="shared" si="61"/>
        <v>33.853863993243984</v>
      </c>
      <c r="D260" s="507"/>
      <c r="E260" s="507">
        <f t="shared" si="63"/>
        <v>66.146136006756024</v>
      </c>
      <c r="F260" s="507"/>
      <c r="G260" s="507"/>
      <c r="H260" s="507">
        <f t="shared" si="60"/>
        <v>100</v>
      </c>
      <c r="I260" s="1685">
        <v>2028</v>
      </c>
      <c r="J260" s="105">
        <f>+Resultaatgrafiek!U149</f>
        <v>4152.475774303869</v>
      </c>
      <c r="K260" s="105"/>
      <c r="L260" s="105">
        <f t="shared" si="59"/>
        <v>3532.6683790784009</v>
      </c>
      <c r="M260" s="105">
        <f t="shared" si="56"/>
        <v>0</v>
      </c>
      <c r="N260" s="105">
        <f t="shared" si="57"/>
        <v>0</v>
      </c>
      <c r="O260" s="105">
        <f t="shared" si="58"/>
        <v>7685.1441533822699</v>
      </c>
      <c r="P260" s="298"/>
      <c r="AI260" s="77"/>
      <c r="AM260" s="272"/>
    </row>
    <row r="261" spans="1:39" ht="15.75" x14ac:dyDescent="0.25">
      <c r="A261" s="1684">
        <v>2029</v>
      </c>
      <c r="B261" s="1688">
        <f t="shared" si="62"/>
        <v>25.191111640735496</v>
      </c>
      <c r="C261" s="1687">
        <f t="shared" si="61"/>
        <v>30.672116000620765</v>
      </c>
      <c r="D261" s="507"/>
      <c r="E261" s="507">
        <f t="shared" si="63"/>
        <v>69.327883999379239</v>
      </c>
      <c r="F261" s="507"/>
      <c r="G261" s="507"/>
      <c r="H261" s="507">
        <f t="shared" si="60"/>
        <v>100</v>
      </c>
      <c r="I261" s="1685">
        <v>2029</v>
      </c>
      <c r="J261" s="105">
        <f>+Resultaatgrafiek!U150</f>
        <v>4053.2568897151418</v>
      </c>
      <c r="K261" s="105"/>
      <c r="L261" s="105">
        <f t="shared" si="59"/>
        <v>3989.0351733256925</v>
      </c>
      <c r="M261" s="105">
        <f t="shared" si="56"/>
        <v>0</v>
      </c>
      <c r="N261" s="105">
        <f t="shared" si="57"/>
        <v>0</v>
      </c>
      <c r="O261" s="105">
        <f t="shared" si="58"/>
        <v>8042.2920630408344</v>
      </c>
      <c r="P261" s="298"/>
      <c r="AI261" s="77"/>
      <c r="AJ261" s="286"/>
      <c r="AL261" s="272"/>
      <c r="AM261" s="272"/>
    </row>
    <row r="262" spans="1:39" ht="15.75" x14ac:dyDescent="0.25">
      <c r="A262" s="1689">
        <v>2030</v>
      </c>
      <c r="B262" s="1696">
        <f>+Uitgangspunten!B90*100</f>
        <v>27</v>
      </c>
      <c r="C262" s="1687">
        <f t="shared" si="61"/>
        <v>26.685833037153845</v>
      </c>
      <c r="D262" s="1691"/>
      <c r="E262" s="1691">
        <f t="shared" si="63"/>
        <v>73.314166962846159</v>
      </c>
      <c r="F262" s="1691"/>
      <c r="G262" s="1691"/>
      <c r="H262" s="1691">
        <f t="shared" si="60"/>
        <v>100</v>
      </c>
      <c r="I262" s="1693">
        <v>2030</v>
      </c>
      <c r="J262" s="1694">
        <f>+Resultaatgrafiek!U151</f>
        <v>3779.7022363764145</v>
      </c>
      <c r="K262" s="1694"/>
      <c r="L262" s="1694">
        <f>B262*E262/100*$L$287</f>
        <v>4521.3097021380481</v>
      </c>
      <c r="M262" s="1694">
        <f t="shared" si="56"/>
        <v>0</v>
      </c>
      <c r="N262" s="1694">
        <f t="shared" si="57"/>
        <v>0</v>
      </c>
      <c r="O262" s="1694">
        <f t="shared" si="58"/>
        <v>8301.0119385144626</v>
      </c>
      <c r="P262" s="298"/>
      <c r="AF262" s="8"/>
      <c r="AG262" s="403"/>
      <c r="AH262" s="403"/>
      <c r="AJ262" s="286"/>
      <c r="AL262" s="272"/>
      <c r="AM262" s="272"/>
    </row>
    <row r="263" spans="1:39" ht="15.75" x14ac:dyDescent="0.25">
      <c r="A263" s="1684">
        <v>2031</v>
      </c>
      <c r="B263" s="1688">
        <f t="shared" ref="B263:B271" si="64">B262+($B$272-$B$262)/10</f>
        <v>29.3</v>
      </c>
      <c r="C263" s="1687">
        <f t="shared" si="61"/>
        <v>21.875559222630649</v>
      </c>
      <c r="D263" s="507"/>
      <c r="E263" s="507">
        <f t="shared" ref="E263:E277" si="65">E262-$E$262/15</f>
        <v>68.426555831989745</v>
      </c>
      <c r="F263" s="507">
        <f>100-C263-E263</f>
        <v>9.697884945379613</v>
      </c>
      <c r="G263" s="507"/>
      <c r="H263" s="507">
        <f t="shared" si="60"/>
        <v>100.00000000000001</v>
      </c>
      <c r="I263" s="1685">
        <v>2031</v>
      </c>
      <c r="J263" s="105">
        <f>+Resultaatgrafiek!U152</f>
        <v>3362.3261895510173</v>
      </c>
      <c r="K263" s="105"/>
      <c r="L263" s="105">
        <f t="shared" si="59"/>
        <v>4579.3610859679684</v>
      </c>
      <c r="M263" s="105">
        <f t="shared" si="56"/>
        <v>649.01873834053254</v>
      </c>
      <c r="N263" s="105">
        <f t="shared" si="57"/>
        <v>0</v>
      </c>
      <c r="O263" s="105">
        <f t="shared" si="58"/>
        <v>8590.706013859517</v>
      </c>
      <c r="P263" s="298"/>
      <c r="AF263" s="8"/>
      <c r="AG263" s="403"/>
      <c r="AH263" s="403"/>
      <c r="AI263" s="77"/>
      <c r="AJ263" s="286"/>
      <c r="AK263" s="63"/>
      <c r="AL263" s="272"/>
      <c r="AM263" s="348"/>
    </row>
    <row r="264" spans="1:39" ht="15.75" x14ac:dyDescent="0.25">
      <c r="A264" s="1684">
        <v>2032</v>
      </c>
      <c r="B264" s="1688">
        <f t="shared" si="64"/>
        <v>31.6</v>
      </c>
      <c r="C264" s="1687">
        <f t="shared" si="61"/>
        <v>15.734739336015576</v>
      </c>
      <c r="D264" s="507"/>
      <c r="E264" s="507">
        <f t="shared" si="65"/>
        <v>63.538944701133332</v>
      </c>
      <c r="F264" s="507">
        <f t="shared" ref="F264:F271" si="66">100-C264-E264</f>
        <v>20.726315962851089</v>
      </c>
      <c r="G264" s="507"/>
      <c r="H264" s="507">
        <f t="shared" si="60"/>
        <v>100</v>
      </c>
      <c r="I264" s="1685">
        <v>2032</v>
      </c>
      <c r="J264" s="105">
        <f>+Resultaatgrafiek!U153</f>
        <v>2608.3129302256202</v>
      </c>
      <c r="K264" s="105"/>
      <c r="L264" s="105">
        <f t="shared" si="59"/>
        <v>4586.0593225637276</v>
      </c>
      <c r="M264" s="105">
        <f t="shared" si="56"/>
        <v>1495.9662139641928</v>
      </c>
      <c r="N264" s="105">
        <f t="shared" si="57"/>
        <v>0</v>
      </c>
      <c r="O264" s="105">
        <f t="shared" si="58"/>
        <v>8690.3384667535411</v>
      </c>
      <c r="P264" s="298"/>
      <c r="AF264" s="8"/>
      <c r="AG264" s="403"/>
      <c r="AH264" s="403"/>
      <c r="AI264" s="77"/>
      <c r="AJ264" s="254"/>
      <c r="AK264" s="117"/>
      <c r="AL264" s="348"/>
      <c r="AM264" s="117"/>
    </row>
    <row r="265" spans="1:39" ht="15.75" x14ac:dyDescent="0.25">
      <c r="A265" s="1684">
        <v>2033</v>
      </c>
      <c r="B265" s="1688">
        <f t="shared" si="64"/>
        <v>33.9</v>
      </c>
      <c r="C265" s="1687">
        <f t="shared" si="61"/>
        <v>13.135132443095275</v>
      </c>
      <c r="D265" s="507"/>
      <c r="E265" s="507">
        <f t="shared" si="65"/>
        <v>58.651333570276918</v>
      </c>
      <c r="F265" s="507">
        <f t="shared" si="66"/>
        <v>28.213533986627809</v>
      </c>
      <c r="G265" s="507"/>
      <c r="H265" s="507">
        <f t="shared" si="60"/>
        <v>100</v>
      </c>
      <c r="I265" s="1685">
        <v>2033</v>
      </c>
      <c r="J265" s="105">
        <f>+Resultaatgrafiek!U154</f>
        <v>2335.8621709002236</v>
      </c>
      <c r="K265" s="105"/>
      <c r="L265" s="105">
        <f t="shared" si="59"/>
        <v>4541.4044119253267</v>
      </c>
      <c r="M265" s="105">
        <f t="shared" si="56"/>
        <v>2184.5891631662644</v>
      </c>
      <c r="N265" s="105">
        <f t="shared" si="57"/>
        <v>0</v>
      </c>
      <c r="O265" s="105">
        <f t="shared" si="58"/>
        <v>9061.8557459918156</v>
      </c>
      <c r="P265" s="298"/>
      <c r="AF265" s="8"/>
      <c r="AG265" s="403"/>
      <c r="AH265" s="403"/>
      <c r="AI265" s="77"/>
      <c r="AK265" s="122"/>
      <c r="AL265" s="349"/>
      <c r="AM265" s="117"/>
    </row>
    <row r="266" spans="1:39" ht="15.75" x14ac:dyDescent="0.25">
      <c r="A266" s="1684">
        <v>2034</v>
      </c>
      <c r="B266" s="1688">
        <f t="shared" si="64"/>
        <v>36.199999999999996</v>
      </c>
      <c r="C266" s="1687">
        <f t="shared" si="61"/>
        <v>11.440915024882441</v>
      </c>
      <c r="D266" s="507"/>
      <c r="E266" s="507">
        <f t="shared" si="65"/>
        <v>53.763722439420505</v>
      </c>
      <c r="F266" s="507">
        <f t="shared" si="66"/>
        <v>34.795362535697052</v>
      </c>
      <c r="G266" s="507"/>
      <c r="H266" s="507">
        <f t="shared" si="60"/>
        <v>100</v>
      </c>
      <c r="I266" s="1685">
        <v>2034</v>
      </c>
      <c r="J266" s="105">
        <f>+Resultaatgrafiek!U155</f>
        <v>2172.613078241493</v>
      </c>
      <c r="K266" s="105"/>
      <c r="L266" s="105">
        <f t="shared" si="59"/>
        <v>4445.3963540527648</v>
      </c>
      <c r="M266" s="105">
        <f t="shared" si="56"/>
        <v>2877.017638211717</v>
      </c>
      <c r="N266" s="105">
        <f t="shared" si="57"/>
        <v>0</v>
      </c>
      <c r="O266" s="105">
        <f t="shared" si="58"/>
        <v>9495.0270705059738</v>
      </c>
      <c r="P266" s="298"/>
      <c r="AF266" s="8"/>
      <c r="AG266" s="403"/>
      <c r="AH266" s="403"/>
      <c r="AI266" s="77"/>
      <c r="AJ266" s="254"/>
      <c r="AL266" s="124"/>
      <c r="AM266" s="117"/>
    </row>
    <row r="267" spans="1:39" ht="13.5" customHeight="1" x14ac:dyDescent="0.25">
      <c r="A267" s="1684">
        <v>2035</v>
      </c>
      <c r="B267" s="1688">
        <f t="shared" si="64"/>
        <v>38.499999999999993</v>
      </c>
      <c r="C267" s="1687">
        <f t="shared" si="61"/>
        <v>8.1153902378732941</v>
      </c>
      <c r="D267" s="507"/>
      <c r="E267" s="507">
        <f t="shared" si="65"/>
        <v>48.876111308564091</v>
      </c>
      <c r="F267" s="507">
        <f t="shared" si="66"/>
        <v>43.008498453562609</v>
      </c>
      <c r="G267" s="507"/>
      <c r="H267" s="507">
        <f t="shared" si="60"/>
        <v>100</v>
      </c>
      <c r="I267" s="1685">
        <v>2035</v>
      </c>
      <c r="J267" s="105">
        <f>+Resultaatgrafiek!U156</f>
        <v>1639.0160133605409</v>
      </c>
      <c r="K267" s="105"/>
      <c r="L267" s="105">
        <f t="shared" si="59"/>
        <v>4298.0351489460427</v>
      </c>
      <c r="M267" s="105">
        <f t="shared" si="56"/>
        <v>3782.0528906196714</v>
      </c>
      <c r="N267" s="105">
        <f t="shared" si="57"/>
        <v>0</v>
      </c>
      <c r="O267" s="105">
        <f t="shared" si="58"/>
        <v>9719.1040529262536</v>
      </c>
      <c r="P267" s="298"/>
      <c r="U267" s="298"/>
      <c r="AF267" s="8"/>
      <c r="AG267" s="403"/>
      <c r="AH267" s="403"/>
      <c r="AI267" s="77"/>
      <c r="AJ267" s="254"/>
      <c r="AK267" s="117"/>
    </row>
    <row r="268" spans="1:39" ht="15.75" x14ac:dyDescent="0.25">
      <c r="A268" s="1684">
        <v>2036</v>
      </c>
      <c r="B268" s="1688">
        <f t="shared" si="64"/>
        <v>40.79999999999999</v>
      </c>
      <c r="C268" s="1687">
        <f t="shared" si="61"/>
        <v>0.56443861897564407</v>
      </c>
      <c r="D268" s="507"/>
      <c r="E268" s="507">
        <f t="shared" si="65"/>
        <v>43.988500177707678</v>
      </c>
      <c r="F268" s="507">
        <f t="shared" si="66"/>
        <v>55.447061203316679</v>
      </c>
      <c r="G268" s="507"/>
      <c r="H268" s="507">
        <f t="shared" si="60"/>
        <v>100</v>
      </c>
      <c r="I268" s="1685">
        <v>2036</v>
      </c>
      <c r="J268" s="105">
        <f>+Resultaatgrafiek!U157</f>
        <v>120.80640000000001</v>
      </c>
      <c r="K268" s="105"/>
      <c r="L268" s="105">
        <f t="shared" si="59"/>
        <v>4099.3207966051605</v>
      </c>
      <c r="M268" s="105">
        <f t="shared" si="56"/>
        <v>5167.1525553986276</v>
      </c>
      <c r="N268" s="105">
        <f t="shared" si="57"/>
        <v>0</v>
      </c>
      <c r="O268" s="105">
        <f t="shared" si="58"/>
        <v>9387.2797520037893</v>
      </c>
      <c r="P268" s="298"/>
      <c r="AJ268" s="254"/>
      <c r="AK268" s="117"/>
      <c r="AL268" s="117"/>
    </row>
    <row r="269" spans="1:39" ht="15.75" x14ac:dyDescent="0.25">
      <c r="A269" s="1684">
        <v>2037</v>
      </c>
      <c r="B269" s="1688">
        <f t="shared" si="64"/>
        <v>43.099999999999987</v>
      </c>
      <c r="C269" s="1687">
        <f t="shared" si="61"/>
        <v>0.26715888229937679</v>
      </c>
      <c r="D269" s="507"/>
      <c r="E269" s="507">
        <f t="shared" si="65"/>
        <v>39.100889046851265</v>
      </c>
      <c r="F269" s="507">
        <f t="shared" si="66"/>
        <v>60.631952070849366</v>
      </c>
      <c r="G269" s="507"/>
      <c r="H269" s="507">
        <f t="shared" si="60"/>
        <v>100</v>
      </c>
      <c r="I269" s="1685">
        <v>2037</v>
      </c>
      <c r="J269" s="105">
        <f>+Resultaatgrafiek!U158</f>
        <v>60.403200000000005</v>
      </c>
      <c r="K269" s="105"/>
      <c r="L269" s="105">
        <f t="shared" si="59"/>
        <v>3849.2532970301177</v>
      </c>
      <c r="M269" s="105">
        <f t="shared" si="56"/>
        <v>5968.8602255166197</v>
      </c>
      <c r="N269" s="105">
        <f t="shared" si="57"/>
        <v>0</v>
      </c>
      <c r="O269" s="105">
        <f t="shared" si="58"/>
        <v>9878.5167225467376</v>
      </c>
      <c r="P269" s="298"/>
    </row>
    <row r="270" spans="1:39" ht="15.75" x14ac:dyDescent="0.25">
      <c r="A270" s="1684">
        <v>2038</v>
      </c>
      <c r="B270" s="1688">
        <f t="shared" si="64"/>
        <v>45.399999999999984</v>
      </c>
      <c r="C270" s="1687">
        <f t="shared" si="61"/>
        <v>0</v>
      </c>
      <c r="D270" s="507"/>
      <c r="E270" s="507">
        <f t="shared" si="65"/>
        <v>34.213277915994851</v>
      </c>
      <c r="F270" s="507">
        <f t="shared" si="66"/>
        <v>65.786722084005149</v>
      </c>
      <c r="G270" s="507"/>
      <c r="H270" s="507">
        <f t="shared" si="60"/>
        <v>100</v>
      </c>
      <c r="I270" s="1685">
        <v>2038</v>
      </c>
      <c r="J270" s="105">
        <v>0</v>
      </c>
      <c r="K270" s="105"/>
      <c r="L270" s="105">
        <f t="shared" si="59"/>
        <v>3547.8326502209138</v>
      </c>
      <c r="M270" s="105">
        <f t="shared" si="56"/>
        <v>6821.9210428687711</v>
      </c>
      <c r="N270" s="105">
        <f t="shared" si="57"/>
        <v>0</v>
      </c>
      <c r="O270" s="105">
        <f t="shared" si="58"/>
        <v>10369.753693089686</v>
      </c>
      <c r="P270" s="298"/>
    </row>
    <row r="271" spans="1:39" ht="15.75" x14ac:dyDescent="0.25">
      <c r="A271" s="1684">
        <v>2039</v>
      </c>
      <c r="B271" s="1688">
        <f t="shared" si="64"/>
        <v>47.699999999999982</v>
      </c>
      <c r="C271" s="1687">
        <f t="shared" si="61"/>
        <v>0</v>
      </c>
      <c r="D271" s="507"/>
      <c r="E271" s="507">
        <f t="shared" si="65"/>
        <v>29.325666785138441</v>
      </c>
      <c r="F271" s="507">
        <f t="shared" si="66"/>
        <v>70.674333214861562</v>
      </c>
      <c r="G271" s="507"/>
      <c r="H271" s="507">
        <f t="shared" si="60"/>
        <v>100</v>
      </c>
      <c r="I271" s="1685">
        <v>2039</v>
      </c>
      <c r="J271" s="105">
        <v>0</v>
      </c>
      <c r="K271" s="105"/>
      <c r="L271" s="105">
        <f t="shared" si="59"/>
        <v>3195.0588561775498</v>
      </c>
      <c r="M271" s="105">
        <f t="shared" si="56"/>
        <v>7700.0347817162383</v>
      </c>
      <c r="N271" s="105">
        <f t="shared" si="57"/>
        <v>0</v>
      </c>
      <c r="O271" s="105">
        <f t="shared" si="58"/>
        <v>10895.093637893788</v>
      </c>
      <c r="P271" s="298"/>
    </row>
    <row r="272" spans="1:39" ht="15.75" x14ac:dyDescent="0.25">
      <c r="A272" s="1689">
        <v>2040</v>
      </c>
      <c r="B272" s="1696">
        <f>+Uitgangspunten!B91*100</f>
        <v>50</v>
      </c>
      <c r="C272" s="1691"/>
      <c r="D272" s="1691"/>
      <c r="E272" s="1691">
        <f t="shared" si="65"/>
        <v>24.438055654282032</v>
      </c>
      <c r="F272" s="1691">
        <f>100-C272-E272</f>
        <v>75.561944345717961</v>
      </c>
      <c r="G272" s="1691"/>
      <c r="H272" s="1691">
        <f t="shared" si="60"/>
        <v>100</v>
      </c>
      <c r="I272" s="1693">
        <v>2040</v>
      </c>
      <c r="J272" s="1694">
        <v>0</v>
      </c>
      <c r="K272" s="1694"/>
      <c r="L272" s="1694">
        <f>B272*E272/100*$L$287</f>
        <v>2790.9319149000266</v>
      </c>
      <c r="M272" s="1694">
        <f t="shared" si="56"/>
        <v>8629.5016677978674</v>
      </c>
      <c r="N272" s="1694">
        <f t="shared" si="57"/>
        <v>0</v>
      </c>
      <c r="O272" s="1694">
        <f t="shared" si="58"/>
        <v>11420.433582697893</v>
      </c>
      <c r="P272" s="298"/>
      <c r="Q272" s="298"/>
      <c r="R272" s="298"/>
    </row>
    <row r="273" spans="1:17" ht="15.75" x14ac:dyDescent="0.25">
      <c r="A273" s="1684">
        <v>2041</v>
      </c>
      <c r="B273" s="1688">
        <f t="shared" ref="B273:B281" si="67">B272+($B$282-$B$272)/10</f>
        <v>53.5</v>
      </c>
      <c r="C273" s="507"/>
      <c r="D273" s="507"/>
      <c r="E273" s="507">
        <f t="shared" si="65"/>
        <v>19.550444523425622</v>
      </c>
      <c r="F273" s="1143">
        <f t="shared" ref="F273:F282" si="68">F272-$F$272/15</f>
        <v>70.524481389336771</v>
      </c>
      <c r="G273" s="507">
        <f t="shared" ref="G273:G282" si="69">100-E273-F273</f>
        <v>9.9250740872376042</v>
      </c>
      <c r="H273" s="507">
        <f t="shared" si="60"/>
        <v>100</v>
      </c>
      <c r="I273" s="1685">
        <v>2041</v>
      </c>
      <c r="J273" s="105">
        <v>0</v>
      </c>
      <c r="K273" s="105"/>
      <c r="L273" s="105">
        <f t="shared" si="59"/>
        <v>2389.0377191544226</v>
      </c>
      <c r="M273" s="105">
        <f t="shared" si="56"/>
        <v>8617.9956655741371</v>
      </c>
      <c r="N273" s="105">
        <f t="shared" si="57"/>
        <v>1212.830548758187</v>
      </c>
      <c r="O273" s="105">
        <f t="shared" si="58"/>
        <v>12219.863933486748</v>
      </c>
      <c r="P273" s="298"/>
    </row>
    <row r="274" spans="1:17" ht="15.75" x14ac:dyDescent="0.25">
      <c r="A274" s="1684">
        <v>2042</v>
      </c>
      <c r="B274" s="1688">
        <f t="shared" si="67"/>
        <v>57</v>
      </c>
      <c r="C274" s="507"/>
      <c r="D274" s="507"/>
      <c r="E274" s="507">
        <f t="shared" si="65"/>
        <v>14.662833392569212</v>
      </c>
      <c r="F274" s="1143">
        <f t="shared" si="68"/>
        <v>65.48701843295558</v>
      </c>
      <c r="G274" s="507">
        <f t="shared" si="69"/>
        <v>19.850148174475208</v>
      </c>
      <c r="H274" s="507">
        <f t="shared" si="60"/>
        <v>100</v>
      </c>
      <c r="I274" s="1685">
        <v>2042</v>
      </c>
      <c r="J274" s="105">
        <v>0</v>
      </c>
      <c r="K274" s="105"/>
      <c r="L274" s="105">
        <f t="shared" si="59"/>
        <v>1908.9974297916172</v>
      </c>
      <c r="M274" s="105">
        <f t="shared" si="56"/>
        <v>8525.9476477842927</v>
      </c>
      <c r="N274" s="105">
        <f t="shared" si="57"/>
        <v>2584.3492066996882</v>
      </c>
      <c r="O274" s="105">
        <f t="shared" si="58"/>
        <v>13019.294284275598</v>
      </c>
      <c r="P274" s="298"/>
    </row>
    <row r="275" spans="1:17" ht="15.75" x14ac:dyDescent="0.25">
      <c r="A275" s="1684">
        <v>2043</v>
      </c>
      <c r="B275" s="1688">
        <f t="shared" si="67"/>
        <v>60.5</v>
      </c>
      <c r="C275" s="507"/>
      <c r="D275" s="507"/>
      <c r="E275" s="507">
        <f t="shared" si="65"/>
        <v>9.775222261712802</v>
      </c>
      <c r="F275" s="1143">
        <f t="shared" si="68"/>
        <v>60.449555476574382</v>
      </c>
      <c r="G275" s="507">
        <f t="shared" si="69"/>
        <v>29.77522226171282</v>
      </c>
      <c r="H275" s="507">
        <f t="shared" si="60"/>
        <v>100</v>
      </c>
      <c r="I275" s="1685">
        <v>2043</v>
      </c>
      <c r="J275" s="105">
        <v>0</v>
      </c>
      <c r="K275" s="105"/>
      <c r="L275" s="105">
        <f t="shared" si="59"/>
        <v>1350.8110468116115</v>
      </c>
      <c r="M275" s="105">
        <f t="shared" si="56"/>
        <v>8353.3576144283379</v>
      </c>
      <c r="N275" s="105">
        <f t="shared" si="57"/>
        <v>4114.5559738245047</v>
      </c>
      <c r="O275" s="105">
        <f t="shared" si="58"/>
        <v>13818.724635064455</v>
      </c>
      <c r="P275" s="298"/>
    </row>
    <row r="276" spans="1:17" ht="15.75" x14ac:dyDescent="0.25">
      <c r="A276" s="1684">
        <v>2044</v>
      </c>
      <c r="B276" s="1688">
        <f t="shared" si="67"/>
        <v>64</v>
      </c>
      <c r="C276" s="507"/>
      <c r="D276" s="507"/>
      <c r="E276" s="507">
        <f t="shared" si="65"/>
        <v>4.8876111308563912</v>
      </c>
      <c r="F276" s="1143">
        <f t="shared" si="68"/>
        <v>55.412092520193184</v>
      </c>
      <c r="G276" s="507">
        <f t="shared" si="69"/>
        <v>39.700296348950431</v>
      </c>
      <c r="H276" s="507">
        <f t="shared" si="60"/>
        <v>100</v>
      </c>
      <c r="I276" s="1685">
        <v>2044</v>
      </c>
      <c r="J276" s="105">
        <v>0</v>
      </c>
      <c r="K276" s="105"/>
      <c r="L276" s="105">
        <f t="shared" si="59"/>
        <v>714.47857021440461</v>
      </c>
      <c r="M276" s="105">
        <f t="shared" si="56"/>
        <v>8100.2255655062654</v>
      </c>
      <c r="N276" s="105">
        <f t="shared" si="57"/>
        <v>5803.4508501326354</v>
      </c>
      <c r="O276" s="105">
        <f t="shared" si="58"/>
        <v>14618.154985853307</v>
      </c>
      <c r="P276" s="298"/>
    </row>
    <row r="277" spans="1:17" ht="15.75" x14ac:dyDescent="0.25">
      <c r="A277" s="1684">
        <v>2045</v>
      </c>
      <c r="B277" s="1688">
        <f t="shared" si="67"/>
        <v>67.5</v>
      </c>
      <c r="C277" s="507"/>
      <c r="D277" s="507"/>
      <c r="E277" s="507">
        <f t="shared" si="65"/>
        <v>-1.9539925233402755E-14</v>
      </c>
      <c r="F277" s="1143">
        <f t="shared" si="68"/>
        <v>50.374629563811986</v>
      </c>
      <c r="G277" s="507">
        <f t="shared" si="69"/>
        <v>49.625370436188028</v>
      </c>
      <c r="H277" s="507">
        <f t="shared" si="60"/>
        <v>100</v>
      </c>
      <c r="I277" s="1685">
        <v>2045</v>
      </c>
      <c r="J277" s="105">
        <v>0</v>
      </c>
      <c r="K277" s="105"/>
      <c r="L277" s="105">
        <f t="shared" si="59"/>
        <v>-3.0125846475759439E-12</v>
      </c>
      <c r="M277" s="105">
        <f t="shared" si="56"/>
        <v>7766.5515010180825</v>
      </c>
      <c r="N277" s="105">
        <f t="shared" si="57"/>
        <v>7651.0338356240791</v>
      </c>
      <c r="O277" s="105">
        <f t="shared" si="58"/>
        <v>15417.585336642158</v>
      </c>
      <c r="P277" s="298"/>
    </row>
    <row r="278" spans="1:17" ht="15.75" x14ac:dyDescent="0.25">
      <c r="A278" s="1684">
        <v>2046</v>
      </c>
      <c r="B278" s="1688">
        <f t="shared" si="67"/>
        <v>71</v>
      </c>
      <c r="C278" s="507"/>
      <c r="D278" s="507"/>
      <c r="E278" s="507"/>
      <c r="F278" s="1143">
        <f t="shared" si="68"/>
        <v>45.337166607430788</v>
      </c>
      <c r="G278" s="507">
        <f t="shared" si="69"/>
        <v>54.662833392569212</v>
      </c>
      <c r="H278" s="507">
        <f t="shared" si="60"/>
        <v>100</v>
      </c>
      <c r="I278" s="1685">
        <v>2046</v>
      </c>
      <c r="J278" s="105">
        <v>0</v>
      </c>
      <c r="K278" s="105"/>
      <c r="L278" s="105">
        <f t="shared" si="59"/>
        <v>0</v>
      </c>
      <c r="M278" s="105">
        <f t="shared" si="56"/>
        <v>7352.3354209637846</v>
      </c>
      <c r="N278" s="105">
        <f t="shared" si="57"/>
        <v>8864.680266467225</v>
      </c>
      <c r="O278" s="105">
        <f t="shared" si="58"/>
        <v>16217.015687431009</v>
      </c>
      <c r="P278" s="298"/>
    </row>
    <row r="279" spans="1:17" ht="15.75" x14ac:dyDescent="0.25">
      <c r="A279" s="1684">
        <v>2047</v>
      </c>
      <c r="B279" s="1688">
        <f t="shared" si="67"/>
        <v>74.5</v>
      </c>
      <c r="C279" s="507"/>
      <c r="D279" s="507"/>
      <c r="E279" s="507"/>
      <c r="F279" s="1143">
        <f t="shared" si="68"/>
        <v>40.29970365104959</v>
      </c>
      <c r="G279" s="507">
        <f t="shared" si="69"/>
        <v>59.70029634895041</v>
      </c>
      <c r="H279" s="507">
        <f t="shared" si="60"/>
        <v>100</v>
      </c>
      <c r="I279" s="1685">
        <v>2047</v>
      </c>
      <c r="J279" s="105">
        <v>0</v>
      </c>
      <c r="K279" s="105"/>
      <c r="L279" s="105">
        <f t="shared" si="59"/>
        <v>0</v>
      </c>
      <c r="M279" s="105">
        <f t="shared" si="56"/>
        <v>6857.5773253433736</v>
      </c>
      <c r="N279" s="105">
        <f t="shared" si="57"/>
        <v>10158.86871287649</v>
      </c>
      <c r="O279" s="105">
        <f t="shared" si="58"/>
        <v>17016.446038219863</v>
      </c>
      <c r="P279" s="298"/>
    </row>
    <row r="280" spans="1:17" ht="15.75" x14ac:dyDescent="0.25">
      <c r="A280" s="1684">
        <v>2048</v>
      </c>
      <c r="B280" s="1688">
        <f t="shared" si="67"/>
        <v>78</v>
      </c>
      <c r="C280" s="507"/>
      <c r="D280" s="507"/>
      <c r="E280" s="507"/>
      <c r="F280" s="1143">
        <f t="shared" si="68"/>
        <v>35.262240694668392</v>
      </c>
      <c r="G280" s="507">
        <f t="shared" si="69"/>
        <v>64.737759305331608</v>
      </c>
      <c r="H280" s="507">
        <f t="shared" si="60"/>
        <v>100</v>
      </c>
      <c r="I280" s="1685">
        <v>2048</v>
      </c>
      <c r="J280" s="105">
        <v>0</v>
      </c>
      <c r="K280" s="105"/>
      <c r="L280" s="105">
        <f t="shared" si="59"/>
        <v>0</v>
      </c>
      <c r="M280" s="105">
        <f t="shared" si="56"/>
        <v>6282.2772141568494</v>
      </c>
      <c r="N280" s="105">
        <f t="shared" si="57"/>
        <v>11533.599174851868</v>
      </c>
      <c r="O280" s="105">
        <f t="shared" si="58"/>
        <v>17815.876389008718</v>
      </c>
      <c r="P280" s="298"/>
    </row>
    <row r="281" spans="1:17" ht="15.75" x14ac:dyDescent="0.25">
      <c r="A281" s="1684">
        <v>2049</v>
      </c>
      <c r="B281" s="1688">
        <f t="shared" si="67"/>
        <v>81.5</v>
      </c>
      <c r="C281" s="507"/>
      <c r="D281" s="507"/>
      <c r="E281" s="507"/>
      <c r="F281" s="1143">
        <f t="shared" si="68"/>
        <v>30.224777738287194</v>
      </c>
      <c r="G281" s="507">
        <f t="shared" si="69"/>
        <v>69.775222261712798</v>
      </c>
      <c r="H281" s="507">
        <f t="shared" si="60"/>
        <v>100</v>
      </c>
      <c r="I281" s="1685">
        <v>2049</v>
      </c>
      <c r="J281" s="105">
        <v>0</v>
      </c>
      <c r="K281" s="105"/>
      <c r="L281" s="105">
        <f t="shared" si="59"/>
        <v>0</v>
      </c>
      <c r="M281" s="105">
        <f t="shared" si="56"/>
        <v>5626.4350874042111</v>
      </c>
      <c r="N281" s="105">
        <f t="shared" si="57"/>
        <v>12988.871652393356</v>
      </c>
      <c r="O281" s="105">
        <f t="shared" si="58"/>
        <v>18615.306739797568</v>
      </c>
      <c r="P281" s="298"/>
    </row>
    <row r="282" spans="1:17" ht="15.75" x14ac:dyDescent="0.25">
      <c r="A282" s="1689">
        <v>2050</v>
      </c>
      <c r="B282" s="1696">
        <f>+Uitgangspunten!B92*100</f>
        <v>85</v>
      </c>
      <c r="C282" s="1691"/>
      <c r="D282" s="1691"/>
      <c r="E282" s="1691"/>
      <c r="F282" s="1697">
        <f t="shared" si="68"/>
        <v>25.187314781905997</v>
      </c>
      <c r="G282" s="1691">
        <f t="shared" si="69"/>
        <v>74.812685218094003</v>
      </c>
      <c r="H282" s="1691">
        <f t="shared" si="60"/>
        <v>100</v>
      </c>
      <c r="I282" s="1693">
        <v>2050</v>
      </c>
      <c r="J282" s="1694">
        <v>0</v>
      </c>
      <c r="K282" s="1694"/>
      <c r="L282" s="1694">
        <f t="shared" si="59"/>
        <v>0</v>
      </c>
      <c r="M282" s="1694">
        <f t="shared" si="56"/>
        <v>4890.0509450854606</v>
      </c>
      <c r="N282" s="1694">
        <f t="shared" si="57"/>
        <v>14524.686145500962</v>
      </c>
      <c r="O282" s="1694">
        <f t="shared" si="58"/>
        <v>19414.737090586423</v>
      </c>
      <c r="P282" s="298"/>
    </row>
    <row r="283" spans="1:17" ht="15.75" x14ac:dyDescent="0.25">
      <c r="A283" s="1698"/>
      <c r="B283" s="507"/>
      <c r="C283" s="507"/>
      <c r="D283" s="507"/>
      <c r="E283" s="507"/>
      <c r="F283" s="1683"/>
      <c r="G283" s="507"/>
      <c r="H283" s="507"/>
      <c r="I283" s="507"/>
      <c r="J283" s="64"/>
      <c r="K283" s="64"/>
      <c r="L283" s="64"/>
      <c r="M283" s="64"/>
      <c r="N283" s="507"/>
      <c r="O283" s="103">
        <f>SUM(O235:O282)</f>
        <v>375027.4617595789</v>
      </c>
    </row>
    <row r="284" spans="1:17" ht="15.75" x14ac:dyDescent="0.25">
      <c r="A284" s="1699"/>
      <c r="B284" s="507"/>
      <c r="C284" s="507"/>
      <c r="D284" s="1700"/>
      <c r="E284" s="507"/>
      <c r="F284" s="64"/>
      <c r="G284" s="64"/>
      <c r="H284" s="64"/>
      <c r="I284" s="64"/>
      <c r="J284" s="1701" t="s">
        <v>598</v>
      </c>
      <c r="K284" s="1702"/>
      <c r="L284" s="1702" t="s">
        <v>582</v>
      </c>
      <c r="M284" s="1702" t="s">
        <v>583</v>
      </c>
      <c r="N284" s="1702" t="s">
        <v>584</v>
      </c>
      <c r="O284" s="64"/>
    </row>
    <row r="285" spans="1:17" ht="15.75" x14ac:dyDescent="0.25">
      <c r="A285" s="1703"/>
      <c r="B285" s="507"/>
      <c r="C285" s="507"/>
      <c r="D285" s="1600">
        <f>-Uitgangspunten!B89</f>
        <v>0</v>
      </c>
      <c r="E285" s="64"/>
      <c r="F285" s="1700"/>
      <c r="G285" s="64"/>
      <c r="H285" s="64"/>
      <c r="I285" s="1704" t="s">
        <v>596</v>
      </c>
      <c r="J285" s="64"/>
      <c r="K285" s="1705"/>
      <c r="L285" s="1706">
        <f>+Resultaatgrafiek!D285</f>
        <v>0</v>
      </c>
      <c r="M285" s="1705">
        <f>L285</f>
        <v>0</v>
      </c>
      <c r="N285" s="1705">
        <f>L285</f>
        <v>0</v>
      </c>
      <c r="O285" s="64"/>
    </row>
    <row r="286" spans="1:17" ht="15.75" x14ac:dyDescent="0.25">
      <c r="A286" s="299"/>
      <c r="B286" s="64"/>
      <c r="C286" s="64"/>
      <c r="D286" s="63"/>
      <c r="E286" s="1707"/>
      <c r="F286" s="64"/>
      <c r="G286" s="64"/>
      <c r="H286" s="64"/>
      <c r="I286" s="64"/>
      <c r="J286" s="64"/>
      <c r="K286" s="1708"/>
      <c r="L286" s="64"/>
      <c r="M286" s="778"/>
      <c r="N286" s="1709" t="s">
        <v>1134</v>
      </c>
      <c r="O286" s="270">
        <f>O283-375172</f>
        <v>-144.53824042109773</v>
      </c>
    </row>
    <row r="287" spans="1:17" ht="15.75" x14ac:dyDescent="0.25">
      <c r="A287" s="63"/>
      <c r="B287" s="64"/>
      <c r="C287" s="64"/>
      <c r="D287" s="64"/>
      <c r="E287" s="64"/>
      <c r="F287" s="1700"/>
      <c r="G287" s="1700"/>
      <c r="H287" s="1700"/>
      <c r="I287" s="1707" t="s">
        <v>589</v>
      </c>
      <c r="J287" s="1710">
        <f>+Uitgangspunten!B88/15</f>
        <v>228.4086716539579</v>
      </c>
      <c r="K287" s="1708"/>
      <c r="L287" s="1708">
        <f>$J287*(100-L285*100)/100</f>
        <v>228.4086716539579</v>
      </c>
      <c r="M287" s="1708">
        <f>$L287*(100-M285*100)/100</f>
        <v>228.4086716539579</v>
      </c>
      <c r="N287" s="1708">
        <f>$M287*(100-N285*100)/100</f>
        <v>228.4086716539579</v>
      </c>
      <c r="O287" s="64"/>
      <c r="Q287" s="627"/>
    </row>
    <row r="288" spans="1:17" ht="15.75" x14ac:dyDescent="0.25">
      <c r="A288" s="63"/>
      <c r="B288" s="64"/>
      <c r="C288" s="64"/>
      <c r="D288" s="64"/>
      <c r="E288" s="64"/>
      <c r="F288" s="64"/>
      <c r="G288" s="64"/>
      <c r="H288" s="64"/>
      <c r="I288" s="64"/>
      <c r="J288" s="64"/>
      <c r="K288" s="64"/>
      <c r="L288" s="64"/>
      <c r="M288" s="64"/>
      <c r="N288" s="64"/>
      <c r="O288" s="64"/>
      <c r="Q288" s="814"/>
    </row>
    <row r="289" spans="9:21" x14ac:dyDescent="0.25">
      <c r="O289" s="627"/>
      <c r="U289" s="298"/>
    </row>
    <row r="291" spans="9:21" x14ac:dyDescent="0.25">
      <c r="I291" s="999" t="s">
        <v>1156</v>
      </c>
      <c r="J291" s="1628">
        <f>SUM(J235:J282)</f>
        <v>107229.75126097236</v>
      </c>
      <c r="K291" s="1628"/>
      <c r="L291" s="1628">
        <f t="shared" ref="L291:O291" si="70">SUM(L235:L282)</f>
        <v>70711.915226612313</v>
      </c>
      <c r="M291" s="1628">
        <f t="shared" si="70"/>
        <v>117648.8689048653</v>
      </c>
      <c r="N291" s="1628">
        <f t="shared" si="70"/>
        <v>79436.926367128995</v>
      </c>
      <c r="O291" s="1628">
        <f t="shared" si="70"/>
        <v>375027.4617595789</v>
      </c>
    </row>
    <row r="293" spans="9:21" x14ac:dyDescent="0.25">
      <c r="I293" t="s">
        <v>1271</v>
      </c>
      <c r="J293" s="298">
        <f>J291/17.1*4</f>
        <v>25082.982751104646</v>
      </c>
      <c r="L293" s="298">
        <f>L291/17.1*4</f>
        <v>16540.798883418083</v>
      </c>
      <c r="M293" s="298">
        <f>M291/17.1*4</f>
        <v>27520.203252600069</v>
      </c>
      <c r="N293" s="298">
        <f>N291/17.1*4</f>
        <v>18581.737161901518</v>
      </c>
      <c r="O293" s="298">
        <f>O291/17.1*4</f>
        <v>87725.722049024291</v>
      </c>
    </row>
    <row r="294" spans="9:21" x14ac:dyDescent="0.25">
      <c r="J294" s="1805">
        <f>I294+J293</f>
        <v>25082.982751104646</v>
      </c>
      <c r="K294" s="1805">
        <f t="shared" ref="K294:N294" si="71">J294+K293</f>
        <v>25082.982751104646</v>
      </c>
      <c r="L294" s="1805">
        <f t="shared" si="71"/>
        <v>41623.781634522733</v>
      </c>
      <c r="M294" s="1805">
        <f t="shared" si="71"/>
        <v>69143.984887122802</v>
      </c>
      <c r="N294" s="1805">
        <f t="shared" si="71"/>
        <v>87725.72204902432</v>
      </c>
      <c r="O294" s="1805"/>
    </row>
    <row r="295" spans="9:21" x14ac:dyDescent="0.25">
      <c r="J295" s="1805"/>
      <c r="K295" s="1805"/>
      <c r="L295" s="1805"/>
      <c r="M295" s="1805"/>
      <c r="N295" s="1805"/>
      <c r="O295" s="1805"/>
    </row>
    <row r="296" spans="9:21" x14ac:dyDescent="0.25">
      <c r="J296" s="1805"/>
      <c r="K296" s="1805"/>
      <c r="L296" s="1805"/>
      <c r="M296" s="1805"/>
      <c r="N296" s="1805"/>
      <c r="O296" s="1805"/>
    </row>
    <row r="297" spans="9:21" x14ac:dyDescent="0.25">
      <c r="J297" s="1805">
        <f>J291+I297</f>
        <v>107229.75126097236</v>
      </c>
      <c r="K297" s="1805">
        <f t="shared" ref="K297:N297" si="72">K291+J297</f>
        <v>107229.75126097236</v>
      </c>
      <c r="L297" s="1805">
        <f t="shared" si="72"/>
        <v>177941.66648758468</v>
      </c>
      <c r="M297" s="1805">
        <f t="shared" si="72"/>
        <v>295590.53539244999</v>
      </c>
      <c r="N297" s="1805">
        <f t="shared" si="72"/>
        <v>375027.46175957902</v>
      </c>
      <c r="O297" s="1805"/>
    </row>
    <row r="298" spans="9:21" x14ac:dyDescent="0.25">
      <c r="J298" s="1805"/>
      <c r="K298" s="1805"/>
      <c r="L298" s="1805"/>
      <c r="M298" s="1805"/>
      <c r="N298" s="1805"/>
      <c r="O298" s="1805"/>
    </row>
  </sheetData>
  <mergeCells count="17">
    <mergeCell ref="X214:AA214"/>
    <mergeCell ref="X207:AA207"/>
    <mergeCell ref="X208:AA208"/>
    <mergeCell ref="X210:AA210"/>
    <mergeCell ref="X211:AA211"/>
    <mergeCell ref="X213:AA213"/>
    <mergeCell ref="X205:AA205"/>
    <mergeCell ref="X202:AA202"/>
    <mergeCell ref="A70:B70"/>
    <mergeCell ref="X201:AA201"/>
    <mergeCell ref="X204:AA204"/>
    <mergeCell ref="X118:AA118"/>
    <mergeCell ref="Z16:AA16"/>
    <mergeCell ref="Z17:AA17"/>
    <mergeCell ref="Z18:AA18"/>
    <mergeCell ref="Z19:AA19"/>
    <mergeCell ref="Z20:AA20"/>
  </mergeCells>
  <conditionalFormatting sqref="E43">
    <cfRule type="cellIs" dxfId="12" priority="1" operator="notBetween">
      <formula>$U$6+1000</formula>
      <formula>$U$6-1000</formula>
    </cfRule>
  </conditionalFormatting>
  <pageMargins left="0.19685039370078741" right="0" top="0.39370078740157483" bottom="0" header="0.31496062992125984" footer="0.31496062992125984"/>
  <pageSetup paperSize="9" scale="45"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zoomScale="70" zoomScaleNormal="70" workbookViewId="0">
      <selection activeCell="A15" sqref="A15"/>
    </sheetView>
  </sheetViews>
  <sheetFormatPr defaultRowHeight="15" x14ac:dyDescent="0.25"/>
  <cols>
    <col min="1" max="1" width="57.5703125" style="2" customWidth="1"/>
    <col min="2" max="2" width="18.140625" customWidth="1"/>
    <col min="3" max="3" width="18.85546875" customWidth="1"/>
    <col min="4" max="4" width="18.5703125" customWidth="1"/>
    <col min="5" max="5" width="78.140625" customWidth="1"/>
  </cols>
  <sheetData>
    <row r="1" spans="1:8" ht="21" x14ac:dyDescent="0.25">
      <c r="A1" s="27" t="s">
        <v>280</v>
      </c>
      <c r="B1" s="21"/>
      <c r="C1" s="21"/>
      <c r="D1" s="21"/>
      <c r="E1" s="22"/>
      <c r="F1" s="18"/>
      <c r="G1" s="18"/>
    </row>
    <row r="2" spans="1:8" s="3" customFormat="1" ht="63" x14ac:dyDescent="0.25">
      <c r="A2" s="1210"/>
      <c r="B2" s="1211" t="s">
        <v>1038</v>
      </c>
      <c r="C2" s="1211" t="s">
        <v>524</v>
      </c>
      <c r="D2" s="101"/>
      <c r="E2" s="262" t="s">
        <v>139</v>
      </c>
      <c r="F2" s="18"/>
      <c r="G2" s="18"/>
    </row>
    <row r="3" spans="1:8" s="3" customFormat="1" ht="15.75" x14ac:dyDescent="0.25">
      <c r="A3" s="1248" t="s">
        <v>85</v>
      </c>
      <c r="B3" s="1212"/>
      <c r="C3" s="159">
        <f>+'SDE&amp;MEP tm 2012'!B14</f>
        <v>7500</v>
      </c>
      <c r="D3" s="1207"/>
      <c r="E3" s="1228"/>
      <c r="F3" s="18"/>
      <c r="G3" s="18"/>
    </row>
    <row r="4" spans="1:8" s="3" customFormat="1" ht="15.75" x14ac:dyDescent="0.25">
      <c r="A4" s="1248" t="s">
        <v>490</v>
      </c>
      <c r="B4" s="1212"/>
      <c r="C4" s="159">
        <f>+'SDE&amp;MEP tm 2012'!B15</f>
        <v>8000</v>
      </c>
      <c r="D4" s="1207"/>
      <c r="E4" s="1228"/>
      <c r="F4" s="18"/>
      <c r="G4" s="18"/>
    </row>
    <row r="5" spans="1:8" s="3" customFormat="1" ht="15.75" x14ac:dyDescent="0.25">
      <c r="A5" s="1248" t="s">
        <v>239</v>
      </c>
      <c r="B5" s="1212"/>
      <c r="C5" s="159">
        <v>52600</v>
      </c>
      <c r="D5" s="1207"/>
      <c r="E5" s="1228"/>
      <c r="F5" s="18"/>
      <c r="G5" s="18"/>
    </row>
    <row r="6" spans="1:8" s="3" customFormat="1" ht="15.75" x14ac:dyDescent="0.25">
      <c r="A6" s="157"/>
      <c r="B6" s="1212"/>
      <c r="C6" s="1212"/>
      <c r="D6" s="62"/>
      <c r="E6" s="1228"/>
      <c r="F6" s="18"/>
      <c r="G6" s="18"/>
    </row>
    <row r="7" spans="1:8" ht="75" x14ac:dyDescent="0.25">
      <c r="A7" s="1213" t="s">
        <v>1067</v>
      </c>
      <c r="B7" s="158">
        <f>+Resultaatmatrix!E93+Resultaatmatrix!E57</f>
        <v>54958.357777777775</v>
      </c>
      <c r="C7" s="161">
        <f>SUM(C3:C5)</f>
        <v>68100</v>
      </c>
      <c r="D7" s="1208"/>
      <c r="E7" s="5" t="s">
        <v>1048</v>
      </c>
      <c r="H7" s="18"/>
    </row>
    <row r="8" spans="1:8" ht="15.75" x14ac:dyDescent="0.25">
      <c r="A8" s="728"/>
      <c r="B8" s="260"/>
      <c r="C8" s="63"/>
      <c r="D8" s="1214"/>
      <c r="E8" s="261"/>
      <c r="H8" s="18"/>
    </row>
    <row r="9" spans="1:8" ht="15.75" x14ac:dyDescent="0.25">
      <c r="A9" s="728"/>
      <c r="B9" s="63"/>
      <c r="C9" s="63"/>
      <c r="D9" s="54"/>
    </row>
    <row r="10" spans="1:8" ht="78.75" x14ac:dyDescent="0.25">
      <c r="A10" s="1215"/>
      <c r="B10" s="1219" t="s">
        <v>1037</v>
      </c>
      <c r="C10" s="263" t="s">
        <v>1039</v>
      </c>
      <c r="D10" s="1209"/>
      <c r="E10" s="4"/>
      <c r="H10" s="18"/>
    </row>
    <row r="11" spans="1:8" ht="45" x14ac:dyDescent="0.25">
      <c r="A11" s="1213" t="s">
        <v>200</v>
      </c>
      <c r="B11" s="64">
        <f>+Uitgangspunten!B11</f>
        <v>6000</v>
      </c>
      <c r="C11" s="64">
        <v>5000</v>
      </c>
      <c r="D11" s="1212"/>
      <c r="E11" s="5" t="s">
        <v>281</v>
      </c>
    </row>
    <row r="12" spans="1:8" ht="105" x14ac:dyDescent="0.25">
      <c r="A12" s="1213" t="s">
        <v>199</v>
      </c>
      <c r="B12" s="64">
        <f>+Uitgangspunten!B16</f>
        <v>4450</v>
      </c>
      <c r="C12" s="64">
        <v>3312</v>
      </c>
      <c r="D12" s="1212"/>
      <c r="E12" s="5" t="s">
        <v>282</v>
      </c>
    </row>
    <row r="13" spans="1:8" ht="15.75" x14ac:dyDescent="0.25">
      <c r="A13" s="728"/>
      <c r="B13" s="63"/>
      <c r="C13" s="63"/>
      <c r="D13" s="63"/>
    </row>
    <row r="14" spans="1:8" ht="15.75" x14ac:dyDescent="0.25">
      <c r="A14" s="728"/>
      <c r="B14" s="63"/>
      <c r="C14" s="63"/>
      <c r="D14" s="63"/>
    </row>
    <row r="15" spans="1:8" ht="133.5" customHeight="1" x14ac:dyDescent="0.25">
      <c r="A15" s="1216" t="str">
        <f>+'%Hernieuwbaar'!A13</f>
        <v>Hernieuwbare energiebron</v>
      </c>
      <c r="B15" s="1217" t="str">
        <f>+'%Hernieuwbaar'!H13</f>
        <v xml:space="preserve">Totaal uit dit model per 2020 (PJ) </v>
      </c>
      <c r="C15" s="126" t="s">
        <v>1045</v>
      </c>
      <c r="D15" s="126" t="s">
        <v>1046</v>
      </c>
      <c r="E15" s="5" t="s">
        <v>1049</v>
      </c>
    </row>
    <row r="16" spans="1:8" ht="15.75" x14ac:dyDescent="0.25">
      <c r="A16" s="1218" t="str">
        <f>+'%Hernieuwbaar'!A14</f>
        <v>Waterkracht</v>
      </c>
      <c r="B16" s="265">
        <f>+'%Hernieuwbaar'!H14</f>
        <v>0.39400000000000002</v>
      </c>
      <c r="C16" s="130">
        <v>0.4</v>
      </c>
      <c r="D16" s="130">
        <v>0.4</v>
      </c>
      <c r="E16" s="4"/>
    </row>
    <row r="17" spans="1:5" ht="15.75" x14ac:dyDescent="0.25">
      <c r="A17" s="1218" t="str">
        <f>+'%Hernieuwbaar'!A15</f>
        <v>Wind op Land</v>
      </c>
      <c r="B17" s="386">
        <f>+'%Hernieuwbaar'!H15</f>
        <v>52.580304700000013</v>
      </c>
      <c r="C17" s="130">
        <v>51.1</v>
      </c>
      <c r="D17" s="130">
        <v>46.5</v>
      </c>
      <c r="E17" s="4"/>
    </row>
    <row r="18" spans="1:5" ht="15.75" x14ac:dyDescent="0.25">
      <c r="A18" s="1218" t="str">
        <f>+'%Hernieuwbaar'!A16</f>
        <v>Wind op Zee</v>
      </c>
      <c r="B18" s="386">
        <f>+'%Hernieuwbaar'!J16</f>
        <v>61.2422568</v>
      </c>
      <c r="C18" s="130">
        <v>22.6</v>
      </c>
      <c r="D18" s="130">
        <v>67.2</v>
      </c>
      <c r="E18" s="136" t="s">
        <v>1047</v>
      </c>
    </row>
    <row r="19" spans="1:5" ht="15.75" x14ac:dyDescent="0.25">
      <c r="A19" s="1218" t="str">
        <f>+'%Hernieuwbaar'!A17</f>
        <v>Zon-PV</v>
      </c>
      <c r="B19" s="265">
        <f>+'%Hernieuwbaar'!H17</f>
        <v>10.756624499999999</v>
      </c>
      <c r="C19" s="130">
        <v>16.600000000000001</v>
      </c>
      <c r="D19" s="130">
        <v>12.7</v>
      </c>
      <c r="E19" s="4"/>
    </row>
    <row r="20" spans="1:5" ht="15.75" x14ac:dyDescent="0.25">
      <c r="A20" s="1218" t="str">
        <f>+'%Hernieuwbaar'!A18</f>
        <v>Zon-thermisch</v>
      </c>
      <c r="B20" s="265">
        <f>+'%Hernieuwbaar'!H18</f>
        <v>1.6500000000000001</v>
      </c>
      <c r="C20" s="130">
        <v>1.6</v>
      </c>
      <c r="D20" s="130">
        <v>2.1</v>
      </c>
      <c r="E20" s="4"/>
    </row>
    <row r="21" spans="1:5" ht="15.75" x14ac:dyDescent="0.25">
      <c r="A21" s="1218" t="str">
        <f>+'%Hernieuwbaar'!A19</f>
        <v>Geothermie</v>
      </c>
      <c r="B21" s="265">
        <f>+'%Hernieuwbaar'!H19</f>
        <v>6.5</v>
      </c>
      <c r="C21" s="130">
        <v>8.6</v>
      </c>
      <c r="D21" s="130">
        <v>6.8</v>
      </c>
      <c r="E21" s="4"/>
    </row>
    <row r="22" spans="1:5" ht="15.75" x14ac:dyDescent="0.25">
      <c r="A22" s="1218" t="str">
        <f>+'%Hernieuwbaar'!A20</f>
        <v>Ondiepe bodemenergie en buitenluchtwarmte</v>
      </c>
      <c r="B22" s="265">
        <f>+'%Hernieuwbaar'!H20</f>
        <v>14.1</v>
      </c>
      <c r="C22" s="130">
        <v>19.399999999999999</v>
      </c>
      <c r="D22" s="130">
        <v>11.9</v>
      </c>
      <c r="E22" s="4"/>
    </row>
    <row r="23" spans="1:5" ht="31.5" x14ac:dyDescent="0.25">
      <c r="A23" s="1218" t="str">
        <f>+'%Hernieuwbaar'!A21</f>
        <v>Biomassa tbv elektriciteit - (bijstook/meestook , bio-wkk etc)</v>
      </c>
      <c r="B23" s="265">
        <f>+'%Hernieuwbaar'!H21</f>
        <v>39.1</v>
      </c>
      <c r="C23" s="1778">
        <f>143.8-36.6</f>
        <v>107.20000000000002</v>
      </c>
      <c r="D23" s="130">
        <v>39.1</v>
      </c>
      <c r="E23" s="4"/>
    </row>
    <row r="24" spans="1:5" ht="31.5" x14ac:dyDescent="0.25">
      <c r="A24" s="1218" t="str">
        <f>+'%Hernieuwbaar'!A22</f>
        <v xml:space="preserve">Biomassa tbv warmte - (warmte uit afvalverbranding, groen gas, vergisting etc) </v>
      </c>
      <c r="B24" s="265">
        <f>+'%Hernieuwbaar'!H22</f>
        <v>50</v>
      </c>
      <c r="C24" s="1779"/>
      <c r="D24" s="130">
        <v>50</v>
      </c>
      <c r="E24" s="4"/>
    </row>
    <row r="25" spans="1:5" ht="15.75" x14ac:dyDescent="0.25">
      <c r="A25" s="1218" t="str">
        <f>+'%Hernieuwbaar'!A23</f>
        <v>Biomassa tbv warmte - verbranding in houtkachels</v>
      </c>
      <c r="B25" s="265">
        <f>+'%Hernieuwbaar'!H23</f>
        <v>18.8</v>
      </c>
      <c r="C25" s="1780"/>
      <c r="D25" s="130">
        <v>18.8</v>
      </c>
      <c r="E25" s="4"/>
    </row>
    <row r="26" spans="1:5" ht="15.75" x14ac:dyDescent="0.25">
      <c r="A26" s="1218" t="str">
        <f>+'%Hernieuwbaar'!A24</f>
        <v>Biomassa tbv transportbrandstof</v>
      </c>
      <c r="B26" s="265">
        <f>+'%Hernieuwbaar'!H24</f>
        <v>34.5</v>
      </c>
      <c r="C26" s="130">
        <v>36.6</v>
      </c>
      <c r="D26" s="130">
        <v>34.5</v>
      </c>
      <c r="E26" s="4"/>
    </row>
    <row r="27" spans="1:5" ht="15.75" x14ac:dyDescent="0.25">
      <c r="A27" s="1213"/>
      <c r="B27" s="266">
        <f>+'%Hernieuwbaar'!J25</f>
        <v>289.62318600000003</v>
      </c>
      <c r="C27" s="264">
        <f>SUM(C16:C26)</f>
        <v>264.10000000000002</v>
      </c>
      <c r="D27" s="264">
        <f>SUM(D16:D26)</f>
        <v>290</v>
      </c>
      <c r="E27" s="4"/>
    </row>
  </sheetData>
  <mergeCells count="1">
    <mergeCell ref="C23:C2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42"/>
  <sheetViews>
    <sheetView zoomScale="80" zoomScaleNormal="80" workbookViewId="0">
      <selection activeCell="K16" sqref="K16"/>
    </sheetView>
  </sheetViews>
  <sheetFormatPr defaultRowHeight="15" x14ac:dyDescent="0.25"/>
  <cols>
    <col min="1" max="1" width="53.7109375" customWidth="1"/>
    <col min="2" max="2" width="16.5703125" customWidth="1"/>
    <col min="3" max="3" width="18.7109375" customWidth="1"/>
    <col min="4" max="4" width="9" customWidth="1"/>
    <col min="5" max="5" width="24.7109375" style="15" customWidth="1"/>
    <col min="6" max="6" width="10.140625" style="100" customWidth="1"/>
    <col min="7" max="7" width="24" customWidth="1"/>
    <col min="8" max="8" width="19.7109375" customWidth="1"/>
    <col min="9" max="9" width="21.5703125" customWidth="1"/>
    <col min="10" max="10" width="19.42578125" customWidth="1"/>
    <col min="11" max="11" width="20" customWidth="1"/>
    <col min="12" max="12" width="22.5703125" customWidth="1"/>
    <col min="13" max="13" width="19.42578125" customWidth="1"/>
    <col min="14" max="14" width="20.42578125" customWidth="1"/>
    <col min="15" max="15" width="14.28515625" customWidth="1"/>
    <col min="16" max="16" width="19" customWidth="1"/>
    <col min="17" max="17" width="15.28515625" customWidth="1"/>
    <col min="18" max="18" width="16.28515625" customWidth="1"/>
    <col min="19" max="19" width="16.85546875" customWidth="1"/>
  </cols>
  <sheetData>
    <row r="1" spans="1:21" ht="21" x14ac:dyDescent="0.25">
      <c r="A1" s="27" t="s">
        <v>349</v>
      </c>
      <c r="B1" s="827"/>
      <c r="C1" s="827"/>
      <c r="D1" s="828"/>
      <c r="E1" s="828"/>
      <c r="F1" s="1223"/>
      <c r="G1" s="828"/>
      <c r="H1" s="22"/>
      <c r="I1" s="22"/>
      <c r="J1" s="26"/>
      <c r="K1" s="26"/>
    </row>
    <row r="2" spans="1:21" ht="15.75" x14ac:dyDescent="0.25">
      <c r="A2" s="63"/>
      <c r="B2" s="117"/>
      <c r="C2" s="117"/>
      <c r="D2" s="117"/>
      <c r="E2" s="78"/>
      <c r="F2" s="255"/>
      <c r="G2" s="117"/>
      <c r="H2" s="65"/>
      <c r="I2" s="65"/>
      <c r="J2" s="65"/>
      <c r="K2" s="65"/>
      <c r="L2" s="65"/>
      <c r="M2" s="65"/>
      <c r="N2" s="65"/>
      <c r="O2" s="65"/>
      <c r="P2" s="65"/>
      <c r="Q2" s="65"/>
    </row>
    <row r="3" spans="1:21" ht="15.75" x14ac:dyDescent="0.25">
      <c r="A3" s="63" t="s">
        <v>348</v>
      </c>
      <c r="B3" s="63"/>
      <c r="C3" s="833">
        <f>+I25</f>
        <v>0.12891856099009902</v>
      </c>
      <c r="D3" s="63"/>
      <c r="G3" s="117"/>
      <c r="H3" s="65"/>
      <c r="I3" s="65"/>
      <c r="J3" s="65"/>
      <c r="K3" s="65"/>
      <c r="L3" s="65"/>
      <c r="M3" s="65"/>
      <c r="N3" s="65"/>
      <c r="O3" s="65"/>
      <c r="P3" s="65"/>
      <c r="Q3" s="65"/>
    </row>
    <row r="4" spans="1:21" ht="15.75" x14ac:dyDescent="0.25">
      <c r="A4" s="63" t="s">
        <v>497</v>
      </c>
      <c r="B4" s="63"/>
      <c r="C4" s="833">
        <f>+K25</f>
        <v>0.14337781485148515</v>
      </c>
      <c r="D4" s="63"/>
      <c r="G4" s="117"/>
      <c r="H4" s="65"/>
      <c r="I4" s="65"/>
      <c r="J4" s="65"/>
      <c r="K4" s="65"/>
      <c r="L4" s="65"/>
      <c r="M4" s="65"/>
      <c r="N4" s="65"/>
      <c r="O4" s="65"/>
      <c r="P4" s="65"/>
      <c r="Q4" s="65"/>
    </row>
    <row r="5" spans="1:21" ht="15.75" x14ac:dyDescent="0.25">
      <c r="A5" s="63" t="s">
        <v>410</v>
      </c>
      <c r="B5" s="63"/>
      <c r="C5" s="833">
        <f>+C3-C25</f>
        <v>8.2220447782551859E-2</v>
      </c>
      <c r="D5" s="63"/>
      <c r="G5" s="117"/>
      <c r="H5" s="65"/>
      <c r="I5" s="65"/>
      <c r="J5" s="65"/>
      <c r="K5" s="65"/>
      <c r="L5" s="65"/>
      <c r="M5" s="65"/>
      <c r="N5" s="65"/>
      <c r="O5" s="65"/>
      <c r="P5" s="65"/>
      <c r="Q5" s="65"/>
    </row>
    <row r="6" spans="1:21" ht="15.75" x14ac:dyDescent="0.25">
      <c r="A6" s="829" t="s">
        <v>350</v>
      </c>
      <c r="B6" s="63"/>
      <c r="C6" s="370"/>
      <c r="D6" s="117"/>
      <c r="E6" s="78"/>
      <c r="F6" s="255"/>
      <c r="G6" s="117"/>
      <c r="H6" s="65"/>
      <c r="I6" s="65"/>
      <c r="J6" s="65"/>
      <c r="K6" s="65"/>
      <c r="L6" s="65"/>
      <c r="M6" s="65"/>
      <c r="N6" s="65"/>
      <c r="O6" s="65"/>
      <c r="P6" s="65"/>
      <c r="Q6" s="65"/>
    </row>
    <row r="7" spans="1:21" ht="15.75" x14ac:dyDescent="0.25">
      <c r="B7" s="63"/>
      <c r="C7" s="370"/>
      <c r="D7" s="117"/>
      <c r="E7" s="78"/>
      <c r="F7" s="255"/>
      <c r="G7" s="117"/>
      <c r="H7" s="65"/>
      <c r="I7" s="65"/>
      <c r="J7" s="65"/>
      <c r="K7" s="65"/>
      <c r="L7" s="65"/>
      <c r="M7" s="65"/>
      <c r="N7" s="65"/>
      <c r="O7" s="65"/>
      <c r="P7" s="65"/>
      <c r="Q7" s="65"/>
    </row>
    <row r="8" spans="1:21" ht="15.75" x14ac:dyDescent="0.25">
      <c r="A8" s="829" t="s">
        <v>351</v>
      </c>
      <c r="B8" s="727"/>
      <c r="C8" s="29"/>
      <c r="D8" s="124"/>
      <c r="E8" s="78"/>
      <c r="F8" s="255"/>
      <c r="G8" s="117"/>
      <c r="H8" s="117"/>
      <c r="I8" s="117"/>
      <c r="J8" s="117"/>
      <c r="K8" s="117"/>
      <c r="L8" s="122"/>
      <c r="M8" s="65"/>
      <c r="N8" s="125"/>
      <c r="O8" s="125"/>
      <c r="P8" s="125"/>
      <c r="Q8" s="125"/>
      <c r="R8" s="17"/>
      <c r="S8" s="17"/>
      <c r="T8" s="17"/>
      <c r="U8" s="17"/>
    </row>
    <row r="9" spans="1:21" ht="15.75" x14ac:dyDescent="0.25">
      <c r="G9" s="117"/>
      <c r="H9" s="117"/>
      <c r="J9" s="117"/>
      <c r="K9" s="117"/>
      <c r="L9" s="122"/>
      <c r="M9" s="65"/>
      <c r="N9" s="125"/>
      <c r="O9" s="125"/>
      <c r="P9" s="125"/>
      <c r="Q9" s="125"/>
      <c r="R9" s="17"/>
      <c r="S9" s="17"/>
      <c r="T9" s="17"/>
      <c r="U9" s="17"/>
    </row>
    <row r="10" spans="1:21" ht="42.6" customHeight="1" x14ac:dyDescent="0.25">
      <c r="A10" s="1782" t="str">
        <f>+Uitgangspunten!A51</f>
        <v>Niet vergoede curtailment waterkracht, wind en grootschalig PV. Dit is beschikbare energie die niet benut kan worden omdat ze opgewekt wordt op een moment dat er geen vraag naar is.</v>
      </c>
      <c r="B10" s="1782"/>
      <c r="C10" s="1782"/>
      <c r="D10" s="124"/>
      <c r="E10" s="824">
        <f>+Uitgangspunten!B51</f>
        <v>1.4999999999999999E-2</v>
      </c>
      <c r="F10" s="1220"/>
      <c r="H10" s="117"/>
      <c r="J10" s="117"/>
      <c r="K10" s="117"/>
      <c r="L10" s="122"/>
      <c r="M10" s="65"/>
      <c r="N10" s="125"/>
      <c r="O10" s="125"/>
      <c r="P10" s="125"/>
      <c r="Q10" s="125"/>
      <c r="R10" s="17"/>
      <c r="S10" s="17"/>
      <c r="T10" s="17"/>
      <c r="U10" s="17"/>
    </row>
    <row r="11" spans="1:21" ht="15.75" x14ac:dyDescent="0.25">
      <c r="B11" s="727"/>
      <c r="C11" s="29"/>
      <c r="D11" s="124"/>
      <c r="E11" s="825"/>
      <c r="F11" s="1220"/>
      <c r="G11" s="117"/>
      <c r="H11" s="117"/>
      <c r="J11" s="117"/>
      <c r="K11" s="117"/>
      <c r="L11" s="122"/>
      <c r="M11" s="65"/>
      <c r="N11" s="125"/>
      <c r="O11" s="125"/>
      <c r="P11" s="125"/>
      <c r="Q11" s="125"/>
      <c r="R11" s="17"/>
      <c r="S11" s="17"/>
      <c r="T11" s="17"/>
      <c r="U11" s="17"/>
    </row>
    <row r="12" spans="1:21" ht="15.75" x14ac:dyDescent="0.25">
      <c r="A12" s="728"/>
      <c r="B12" s="729"/>
      <c r="C12" s="117"/>
      <c r="D12" s="124"/>
      <c r="E12" s="78"/>
      <c r="F12" s="255"/>
      <c r="G12" s="208" t="s">
        <v>1066</v>
      </c>
      <c r="H12" s="65"/>
      <c r="I12" s="65"/>
      <c r="J12" s="65"/>
      <c r="K12" s="29"/>
      <c r="L12" s="122"/>
      <c r="M12" s="65"/>
      <c r="N12" s="125"/>
      <c r="O12" s="125"/>
      <c r="P12" s="125"/>
      <c r="Q12" s="125"/>
      <c r="R12" s="17"/>
      <c r="S12" s="17"/>
      <c r="T12" s="17"/>
      <c r="U12" s="17"/>
    </row>
    <row r="13" spans="1:21" ht="141.75" x14ac:dyDescent="0.25">
      <c r="A13" s="730" t="s">
        <v>202</v>
      </c>
      <c r="B13" s="969" t="s">
        <v>455</v>
      </c>
      <c r="C13" s="970" t="s">
        <v>208</v>
      </c>
      <c r="D13" s="625"/>
      <c r="E13" s="126" t="s">
        <v>628</v>
      </c>
      <c r="F13"/>
      <c r="G13" s="127" t="s">
        <v>1040</v>
      </c>
      <c r="H13" s="126" t="s">
        <v>1041</v>
      </c>
      <c r="I13" s="127" t="s">
        <v>1043</v>
      </c>
      <c r="J13" s="126" t="s">
        <v>1042</v>
      </c>
      <c r="K13" s="127" t="s">
        <v>1044</v>
      </c>
      <c r="L13" s="125"/>
      <c r="M13" s="125"/>
      <c r="N13" s="125"/>
      <c r="Q13" s="128"/>
      <c r="R13" s="88"/>
      <c r="S13" s="89"/>
      <c r="T13" s="90"/>
      <c r="U13" s="17"/>
    </row>
    <row r="14" spans="1:21" s="3" customFormat="1" ht="15.75" x14ac:dyDescent="0.25">
      <c r="A14" s="731" t="s">
        <v>17</v>
      </c>
      <c r="B14" s="732">
        <f>0.4</f>
        <v>0.4</v>
      </c>
      <c r="C14" s="129">
        <f>+B14/Energiebesparing!$B$5</f>
        <v>1.8867924528301889E-4</v>
      </c>
      <c r="D14" s="125"/>
      <c r="E14" s="1225">
        <f>+B14*(100%-E$10)</f>
        <v>0.39400000000000002</v>
      </c>
      <c r="F14"/>
      <c r="G14" s="1226">
        <v>0</v>
      </c>
      <c r="H14" s="130">
        <f t="shared" ref="H14:H24" si="0">+E14+G14</f>
        <v>0.39400000000000002</v>
      </c>
      <c r="I14" s="132">
        <f>+H14/Uitgangspunten!B$61</f>
        <v>1.9504950495049505E-4</v>
      </c>
      <c r="J14" s="131"/>
      <c r="L14" s="133"/>
      <c r="M14" s="125"/>
      <c r="N14" s="85"/>
      <c r="Q14" s="128"/>
      <c r="R14" s="88"/>
      <c r="S14" s="89"/>
      <c r="T14" s="90"/>
      <c r="U14" s="17"/>
    </row>
    <row r="15" spans="1:21" ht="15.75" x14ac:dyDescent="0.25">
      <c r="A15" s="733" t="s">
        <v>200</v>
      </c>
      <c r="B15" s="734">
        <f>16.6</f>
        <v>16.600000000000001</v>
      </c>
      <c r="C15" s="129">
        <f>+B15/Energiebesparing!$B$5</f>
        <v>7.8301886792452834E-3</v>
      </c>
      <c r="D15" s="636"/>
      <c r="E15" s="1225">
        <f>+B15*(100%-E$10)</f>
        <v>16.351000000000003</v>
      </c>
      <c r="F15"/>
      <c r="G15" s="1227">
        <f>+Wind!P31*3.6</f>
        <v>36.229304700000007</v>
      </c>
      <c r="H15" s="130">
        <f>+E15+G15</f>
        <v>52.580304700000013</v>
      </c>
      <c r="I15" s="132">
        <f>+H15/Uitgangspunten!B$61</f>
        <v>2.6029853811881196E-2</v>
      </c>
      <c r="J15" s="65"/>
      <c r="L15" s="133"/>
      <c r="M15" s="125"/>
      <c r="N15" s="86"/>
      <c r="Q15" s="86"/>
      <c r="R15" s="91"/>
      <c r="S15" s="92"/>
      <c r="T15" s="94"/>
      <c r="U15" s="17"/>
    </row>
    <row r="16" spans="1:21" ht="15.75" x14ac:dyDescent="0.25">
      <c r="A16" s="735" t="s">
        <v>199</v>
      </c>
      <c r="B16" s="734">
        <v>2.7</v>
      </c>
      <c r="C16" s="129">
        <f>+B16/Energiebesparing!$B$5</f>
        <v>1.2735849056603773E-3</v>
      </c>
      <c r="D16" s="636"/>
      <c r="E16" s="130">
        <f>+'SDE&amp;MEP tm 2012'!E42*3.6/1000*(100%-E$10)</f>
        <v>2.85453</v>
      </c>
      <c r="F16"/>
      <c r="G16" s="1227">
        <f>+Wind!P83*3.6</f>
        <v>29.180033999999996</v>
      </c>
      <c r="H16" s="130">
        <f>+E16+G16</f>
        <v>32.034563999999996</v>
      </c>
      <c r="I16" s="132">
        <f>+H16/Uitgangspunten!B$61</f>
        <v>1.5858695049504948E-2</v>
      </c>
      <c r="J16" s="975">
        <f>+Wind!P86*3.6+E16</f>
        <v>61.2422568</v>
      </c>
      <c r="K16" s="832">
        <f>+J16/Uitgangspunten!B$61</f>
        <v>3.0317948910891089E-2</v>
      </c>
      <c r="L16" s="133"/>
      <c r="M16" s="125"/>
      <c r="N16" s="86"/>
      <c r="Q16" s="86"/>
      <c r="R16" s="91"/>
      <c r="S16" s="92"/>
      <c r="T16" s="94"/>
      <c r="U16" s="17"/>
    </row>
    <row r="17" spans="1:22" ht="15.75" x14ac:dyDescent="0.25">
      <c r="A17" s="733" t="s">
        <v>171</v>
      </c>
      <c r="B17" s="734">
        <f>1.8</f>
        <v>1.8</v>
      </c>
      <c r="C17" s="129">
        <f>+B17/Energiebesparing!$B$5</f>
        <v>8.4905660377358489E-4</v>
      </c>
      <c r="D17" s="102"/>
      <c r="E17" s="1225">
        <v>0</v>
      </c>
      <c r="F17"/>
      <c r="G17" s="1227">
        <f>+(' PV'!M68+' PV'!D116)*3.6</f>
        <v>10.756624499999999</v>
      </c>
      <c r="H17" s="130">
        <f>+E17+G17</f>
        <v>10.756624499999999</v>
      </c>
      <c r="I17" s="132">
        <f>+H17/Uitgangspunten!B$61</f>
        <v>5.3250616336633656E-3</v>
      </c>
      <c r="J17" s="117"/>
      <c r="L17" s="133"/>
      <c r="M17" s="125"/>
      <c r="N17" s="86"/>
      <c r="O17" s="3"/>
      <c r="P17" s="3"/>
      <c r="Q17" s="86"/>
      <c r="R17" s="91"/>
      <c r="S17" s="92"/>
      <c r="T17" s="94"/>
      <c r="U17" s="17"/>
      <c r="V17" s="3"/>
    </row>
    <row r="18" spans="1:22" ht="15.75" x14ac:dyDescent="0.25">
      <c r="A18" s="733" t="s">
        <v>235</v>
      </c>
      <c r="B18" s="734">
        <f>1.1</f>
        <v>1.1000000000000001</v>
      </c>
      <c r="C18" s="129">
        <f>+B18/Energiebesparing!$B$5</f>
        <v>5.188679245283019E-4</v>
      </c>
      <c r="D18" s="102"/>
      <c r="E18" s="130">
        <f>+B18</f>
        <v>1.1000000000000001</v>
      </c>
      <c r="F18"/>
      <c r="G18" s="130">
        <f>+Warmte!C17</f>
        <v>0.55000000000000004</v>
      </c>
      <c r="H18" s="130">
        <f t="shared" si="0"/>
        <v>1.6500000000000001</v>
      </c>
      <c r="I18" s="132">
        <f>+H18/Uitgangspunten!B$61</f>
        <v>8.1683168316831691E-4</v>
      </c>
      <c r="J18" s="117"/>
      <c r="L18" s="133"/>
      <c r="M18" s="125"/>
      <c r="N18" s="86"/>
      <c r="O18" s="3"/>
      <c r="P18" s="3"/>
      <c r="Q18" s="86"/>
      <c r="R18" s="91"/>
      <c r="S18" s="92"/>
      <c r="T18" s="95"/>
      <c r="U18" s="17"/>
      <c r="V18" s="3"/>
    </row>
    <row r="19" spans="1:22" ht="15.75" x14ac:dyDescent="0.25">
      <c r="A19" s="733" t="s">
        <v>41</v>
      </c>
      <c r="B19" s="734">
        <f>1</f>
        <v>1</v>
      </c>
      <c r="C19" s="129">
        <f>+B19/Energiebesparing!$B$5</f>
        <v>4.7169811320754717E-4</v>
      </c>
      <c r="D19" s="102"/>
      <c r="E19" s="130">
        <f>+B19</f>
        <v>1</v>
      </c>
      <c r="F19"/>
      <c r="G19" s="130">
        <f>+Warmte!C52</f>
        <v>5.5</v>
      </c>
      <c r="H19" s="130">
        <f t="shared" si="0"/>
        <v>6.5</v>
      </c>
      <c r="I19" s="132">
        <f>+H19/Uitgangspunten!B$61</f>
        <v>3.2178217821782176E-3</v>
      </c>
      <c r="J19" s="117"/>
      <c r="L19" s="133"/>
      <c r="M19" s="125"/>
      <c r="N19" s="83"/>
      <c r="O19" s="3"/>
      <c r="P19" s="3"/>
      <c r="Q19" s="83"/>
      <c r="R19" s="3"/>
      <c r="S19" s="3"/>
      <c r="T19" s="366"/>
      <c r="U19" s="17"/>
      <c r="V19" s="3"/>
    </row>
    <row r="20" spans="1:22" ht="15.75" x14ac:dyDescent="0.25">
      <c r="A20" s="733" t="s">
        <v>221</v>
      </c>
      <c r="B20" s="734">
        <v>6.1</v>
      </c>
      <c r="C20" s="129">
        <f>+B20/Energiebesparing!$B$5</f>
        <v>2.8773584905660374E-3</v>
      </c>
      <c r="D20" s="102"/>
      <c r="E20" s="130">
        <f>+B20</f>
        <v>6.1</v>
      </c>
      <c r="F20"/>
      <c r="G20" s="130">
        <f>+Warmte!C88</f>
        <v>8</v>
      </c>
      <c r="H20" s="130">
        <f>+E20+G20</f>
        <v>14.1</v>
      </c>
      <c r="I20" s="132">
        <f>+H20/Uitgangspunten!B$61</f>
        <v>6.9801980198019803E-3</v>
      </c>
      <c r="J20" s="117"/>
      <c r="L20" s="133"/>
      <c r="M20" s="125"/>
      <c r="N20" s="83"/>
      <c r="O20" s="3"/>
      <c r="P20" s="3"/>
      <c r="Q20" s="83"/>
      <c r="R20" s="3"/>
      <c r="S20" s="3"/>
      <c r="T20" s="367"/>
      <c r="U20" s="17"/>
      <c r="V20" s="3"/>
    </row>
    <row r="21" spans="1:22" ht="31.5" x14ac:dyDescent="0.25">
      <c r="A21" s="733" t="s">
        <v>466</v>
      </c>
      <c r="B21" s="736">
        <f>+Biomassa!F24*3.6</f>
        <v>18.997199999999999</v>
      </c>
      <c r="C21" s="129">
        <f>+B21/Energiebesparing!$B$5</f>
        <v>8.9609433962264153E-3</v>
      </c>
      <c r="D21" s="102"/>
      <c r="E21" s="1225">
        <v>0</v>
      </c>
      <c r="F21"/>
      <c r="G21" s="1227">
        <f>+Biomassa!H13</f>
        <v>39.1</v>
      </c>
      <c r="H21" s="130">
        <f>+E21+G21</f>
        <v>39.1</v>
      </c>
      <c r="I21" s="132">
        <f>+H21/Uitgangspunten!B$61</f>
        <v>1.9356435643564356E-2</v>
      </c>
      <c r="J21" s="117"/>
      <c r="L21" s="133"/>
      <c r="M21" s="125"/>
      <c r="N21" s="368"/>
      <c r="O21" s="86"/>
      <c r="P21" s="91"/>
      <c r="Q21" s="92"/>
      <c r="R21" s="95"/>
      <c r="S21" s="17"/>
      <c r="T21" s="3"/>
      <c r="U21" s="3"/>
      <c r="V21" s="3"/>
    </row>
    <row r="22" spans="1:22" ht="31.5" x14ac:dyDescent="0.25">
      <c r="A22" s="733" t="s">
        <v>465</v>
      </c>
      <c r="B22" s="734">
        <f>69.3-B24-B21-B23</f>
        <v>25.402799999999999</v>
      </c>
      <c r="C22" s="129">
        <f>+B22/Energiebesparing!$B$5</f>
        <v>1.1982452830188679E-2</v>
      </c>
      <c r="D22" s="102"/>
      <c r="E22" s="1225">
        <v>0</v>
      </c>
      <c r="F22"/>
      <c r="G22" s="1227">
        <f>+Biomassa!C66</f>
        <v>50</v>
      </c>
      <c r="H22" s="130">
        <f t="shared" si="0"/>
        <v>50</v>
      </c>
      <c r="I22" s="132">
        <f>+H22/Uitgangspunten!B$61</f>
        <v>2.4752475247524754E-2</v>
      </c>
      <c r="J22" s="117"/>
      <c r="L22" s="133"/>
      <c r="M22" s="125"/>
      <c r="N22" s="369"/>
      <c r="O22" s="86"/>
      <c r="P22" s="91"/>
      <c r="Q22" s="92"/>
      <c r="R22" s="95"/>
      <c r="S22" s="17"/>
      <c r="T22" s="3"/>
      <c r="U22" s="3"/>
      <c r="V22" s="3"/>
    </row>
    <row r="23" spans="1:22" ht="15.75" x14ac:dyDescent="0.25">
      <c r="A23" s="733" t="s">
        <v>456</v>
      </c>
      <c r="B23" s="883">
        <v>12</v>
      </c>
      <c r="C23" s="129">
        <f>+B23/Energiebesparing!$B$5</f>
        <v>5.6603773584905656E-3</v>
      </c>
      <c r="D23" s="125"/>
      <c r="E23" s="818">
        <f>+Uitgangspunten!B42</f>
        <v>18.8</v>
      </c>
      <c r="F23"/>
      <c r="G23" s="1227">
        <f>+Biomassa!F88-E23</f>
        <v>0</v>
      </c>
      <c r="H23" s="130">
        <f t="shared" si="0"/>
        <v>18.8</v>
      </c>
      <c r="I23" s="132">
        <f>+H23/Uitgangspunten!B$61</f>
        <v>9.3069306930693065E-3</v>
      </c>
      <c r="J23" s="117"/>
      <c r="L23" s="133"/>
      <c r="M23" s="125"/>
      <c r="N23" s="86"/>
      <c r="O23" s="3"/>
      <c r="P23" s="3"/>
      <c r="Q23" s="86"/>
      <c r="R23" s="86"/>
      <c r="S23" s="93"/>
      <c r="T23" s="95"/>
      <c r="U23" s="17"/>
      <c r="V23" s="3"/>
    </row>
    <row r="24" spans="1:22" ht="15.75" x14ac:dyDescent="0.25">
      <c r="A24" s="733" t="s">
        <v>201</v>
      </c>
      <c r="B24" s="734">
        <f>12.9</f>
        <v>12.9</v>
      </c>
      <c r="C24" s="129">
        <f>+B24/Energiebesparing!$B$5</f>
        <v>6.0849056603773585E-3</v>
      </c>
      <c r="D24" s="102"/>
      <c r="E24" s="1225">
        <v>0</v>
      </c>
      <c r="F24"/>
      <c r="G24" s="1227">
        <f>Vervoer!E92*3.6</f>
        <v>34.5</v>
      </c>
      <c r="H24" s="130">
        <f t="shared" si="0"/>
        <v>34.5</v>
      </c>
      <c r="I24" s="132">
        <f>+H24/Uitgangspunten!B$61</f>
        <v>1.707920792079208E-2</v>
      </c>
      <c r="J24" s="65"/>
      <c r="L24" s="133"/>
      <c r="M24" s="65"/>
      <c r="N24" s="65"/>
      <c r="Q24" s="86"/>
      <c r="R24" s="91"/>
      <c r="S24" s="92"/>
      <c r="T24" s="95"/>
      <c r="U24" s="17"/>
    </row>
    <row r="25" spans="1:22" ht="15.75" x14ac:dyDescent="0.25">
      <c r="A25" s="76" t="s">
        <v>8</v>
      </c>
      <c r="B25" s="134">
        <f>SUM(B14:B24)</f>
        <v>99</v>
      </c>
      <c r="C25" s="271">
        <f>SUM(C14:C24)</f>
        <v>4.6698113207547166E-2</v>
      </c>
      <c r="D25" s="102"/>
      <c r="E25" s="135">
        <f>SUM(E14:E24)</f>
        <v>46.599530000000001</v>
      </c>
      <c r="F25"/>
      <c r="G25" s="135">
        <f>SUM(G14:G24)</f>
        <v>213.8159632</v>
      </c>
      <c r="H25" s="264">
        <f>SUM(H14:H24)</f>
        <v>260.41549320000001</v>
      </c>
      <c r="I25" s="504">
        <f>SUM(I14:I24)</f>
        <v>0.12891856099009902</v>
      </c>
      <c r="J25" s="830">
        <f>+H25-H16+J16</f>
        <v>289.62318600000003</v>
      </c>
      <c r="K25" s="831">
        <f>+I25-I16+K16</f>
        <v>0.14337781485148515</v>
      </c>
      <c r="L25" s="137"/>
      <c r="M25" s="125"/>
      <c r="N25" s="96"/>
      <c r="Q25" s="96"/>
      <c r="R25" s="87"/>
      <c r="S25" s="97"/>
      <c r="T25" s="95"/>
      <c r="U25" s="17"/>
    </row>
    <row r="26" spans="1:22" s="8" customFormat="1" ht="15.75" x14ac:dyDescent="0.25">
      <c r="A26" s="80"/>
      <c r="B26" s="81"/>
      <c r="C26" s="124"/>
      <c r="E26" s="102"/>
      <c r="F26" s="125"/>
      <c r="G26" s="102"/>
      <c r="H26" s="1781"/>
      <c r="I26" s="1762"/>
      <c r="J26" s="65"/>
      <c r="K26" s="102"/>
      <c r="L26" s="125"/>
      <c r="M26" s="102"/>
      <c r="N26" s="125"/>
      <c r="O26" s="139"/>
      <c r="P26" s="139"/>
      <c r="Q26" s="139"/>
      <c r="R26" s="17"/>
      <c r="S26" s="29"/>
      <c r="T26" s="17"/>
      <c r="U26" s="17"/>
    </row>
    <row r="27" spans="1:22" ht="75" customHeight="1" x14ac:dyDescent="0.25">
      <c r="E27" s="840">
        <f>+(E25)/H25</f>
        <v>0.17894300153720655</v>
      </c>
      <c r="F27" s="1221"/>
      <c r="G27" s="65"/>
      <c r="H27" s="140"/>
      <c r="I27" s="83"/>
      <c r="J27" s="65"/>
      <c r="K27" s="65"/>
      <c r="L27" s="3"/>
      <c r="M27" s="65"/>
      <c r="N27" s="125"/>
      <c r="O27" s="122"/>
      <c r="P27" s="122"/>
      <c r="Q27" s="122"/>
      <c r="R27" s="17"/>
      <c r="S27" s="17"/>
      <c r="T27" s="17"/>
      <c r="U27" s="17"/>
    </row>
    <row r="28" spans="1:22" ht="45" x14ac:dyDescent="0.25">
      <c r="A28" s="976" t="s">
        <v>674</v>
      </c>
      <c r="B28" s="223">
        <f>+B18+B19+B20+B22+B23</f>
        <v>45.602800000000002</v>
      </c>
      <c r="C28" s="65" t="s">
        <v>669</v>
      </c>
      <c r="D28" s="102"/>
      <c r="E28" s="115" t="s">
        <v>845</v>
      </c>
      <c r="F28" s="1222"/>
      <c r="J28" s="65"/>
      <c r="K28" s="65"/>
      <c r="L28" s="65"/>
      <c r="M28" s="65"/>
      <c r="N28" s="125"/>
      <c r="O28" s="122"/>
      <c r="P28" s="122"/>
      <c r="Q28" s="122"/>
      <c r="R28" s="17"/>
      <c r="S28" s="17"/>
      <c r="T28" s="17"/>
      <c r="U28" s="17"/>
    </row>
    <row r="29" spans="1:22" ht="15.75" x14ac:dyDescent="0.25">
      <c r="A29" s="65"/>
      <c r="B29" s="370">
        <f>+B22+B23</f>
        <v>37.402799999999999</v>
      </c>
      <c r="C29" s="65" t="s">
        <v>670</v>
      </c>
      <c r="D29" s="65"/>
      <c r="E29" s="121"/>
      <c r="F29" s="527"/>
      <c r="L29" s="65"/>
      <c r="M29" s="65"/>
      <c r="N29" s="65"/>
      <c r="O29" s="65"/>
      <c r="P29" s="65"/>
      <c r="Q29" s="65"/>
    </row>
    <row r="30" spans="1:22" ht="15.75" x14ac:dyDescent="0.25">
      <c r="A30" s="65"/>
      <c r="B30" s="880">
        <f>+B29/B28</f>
        <v>0.82018647977755743</v>
      </c>
      <c r="C30" s="65" t="s">
        <v>673</v>
      </c>
      <c r="D30" s="65"/>
      <c r="E30" s="142"/>
      <c r="F30" s="1224"/>
      <c r="L30" s="65"/>
      <c r="M30" s="65"/>
      <c r="N30" s="65"/>
      <c r="O30" s="65"/>
      <c r="P30" s="65"/>
      <c r="Q30" s="65"/>
    </row>
    <row r="31" spans="1:22" x14ac:dyDescent="0.25">
      <c r="A31" s="65"/>
      <c r="B31" s="881">
        <f>0.33*B29</f>
        <v>12.342924</v>
      </c>
      <c r="C31" s="882" t="s">
        <v>672</v>
      </c>
      <c r="D31" s="65"/>
      <c r="E31" s="121"/>
      <c r="F31" s="527"/>
      <c r="L31" s="65"/>
      <c r="M31" s="65"/>
      <c r="N31" s="65"/>
      <c r="O31" s="65"/>
      <c r="P31" s="65"/>
      <c r="Q31" s="65"/>
    </row>
    <row r="32" spans="1:22" s="3" customFormat="1" x14ac:dyDescent="0.25">
      <c r="F32" s="17"/>
      <c r="L32" s="83"/>
      <c r="M32" s="83"/>
      <c r="N32" s="83"/>
      <c r="O32" s="83"/>
      <c r="P32" s="83"/>
      <c r="Q32" s="83"/>
    </row>
    <row r="33" spans="1:17" x14ac:dyDescent="0.25">
      <c r="L33" s="65"/>
      <c r="M33" s="65"/>
      <c r="N33" s="65"/>
      <c r="O33" s="65"/>
      <c r="P33" s="65"/>
      <c r="Q33" s="65"/>
    </row>
    <row r="34" spans="1:17" s="3" customFormat="1" x14ac:dyDescent="0.25">
      <c r="F34" s="17"/>
      <c r="L34" s="83"/>
      <c r="M34" s="83"/>
      <c r="N34" s="83"/>
      <c r="O34" s="83"/>
      <c r="P34" s="83"/>
      <c r="Q34" s="83"/>
    </row>
    <row r="35" spans="1:17" s="3" customFormat="1" x14ac:dyDescent="0.25">
      <c r="F35" s="17"/>
      <c r="L35" s="83"/>
      <c r="M35" s="83"/>
      <c r="N35" s="83"/>
      <c r="O35" s="83"/>
      <c r="P35" s="83"/>
      <c r="Q35" s="83"/>
    </row>
    <row r="36" spans="1:17" s="3" customFormat="1" x14ac:dyDescent="0.25">
      <c r="F36" s="17"/>
      <c r="L36" s="83"/>
      <c r="M36" s="83"/>
      <c r="N36" s="83"/>
      <c r="O36" s="83"/>
      <c r="P36" s="83"/>
      <c r="Q36" s="83"/>
    </row>
    <row r="37" spans="1:17" s="3" customFormat="1" x14ac:dyDescent="0.25">
      <c r="A37" s="83"/>
      <c r="E37" s="144"/>
      <c r="F37" s="527"/>
      <c r="L37" s="83"/>
      <c r="M37" s="83"/>
      <c r="N37" s="83"/>
      <c r="O37" s="83"/>
      <c r="P37" s="83"/>
      <c r="Q37" s="83"/>
    </row>
    <row r="38" spans="1:17" x14ac:dyDescent="0.25">
      <c r="A38" s="65"/>
      <c r="B38" s="65"/>
      <c r="C38" s="65"/>
      <c r="D38" s="65"/>
      <c r="E38" s="121"/>
      <c r="F38" s="527"/>
      <c r="L38" s="65"/>
      <c r="M38" s="65"/>
      <c r="N38" s="65"/>
      <c r="O38" s="65"/>
      <c r="P38" s="65"/>
      <c r="Q38" s="65"/>
    </row>
    <row r="40" spans="1:17" x14ac:dyDescent="0.25">
      <c r="A40" s="2"/>
      <c r="D40" s="20"/>
    </row>
    <row r="41" spans="1:17" x14ac:dyDescent="0.25">
      <c r="A41" s="2"/>
      <c r="D41" s="20"/>
    </row>
    <row r="42" spans="1:17" x14ac:dyDescent="0.25">
      <c r="A42" s="2"/>
      <c r="D42" s="20"/>
    </row>
  </sheetData>
  <mergeCells count="2">
    <mergeCell ref="H26:I26"/>
    <mergeCell ref="A10:C10"/>
  </mergeCells>
  <conditionalFormatting sqref="E17">
    <cfRule type="cellIs" dxfId="11" priority="7" stopIfTrue="1" operator="equal">
      <formula>0</formula>
    </cfRule>
    <cfRule type="cellIs" dxfId="10" priority="8" operator="notEqual">
      <formula>0</formula>
    </cfRule>
  </conditionalFormatting>
  <conditionalFormatting sqref="E21">
    <cfRule type="cellIs" dxfId="9" priority="5" stopIfTrue="1" operator="equal">
      <formula>0</formula>
    </cfRule>
    <cfRule type="cellIs" dxfId="8" priority="6" operator="notEqual">
      <formula>0</formula>
    </cfRule>
  </conditionalFormatting>
  <conditionalFormatting sqref="E22">
    <cfRule type="cellIs" dxfId="7" priority="3" stopIfTrue="1" operator="equal">
      <formula>0</formula>
    </cfRule>
    <cfRule type="cellIs" dxfId="6" priority="4" operator="notEqual">
      <formula>0</formula>
    </cfRule>
  </conditionalFormatting>
  <conditionalFormatting sqref="E24">
    <cfRule type="cellIs" dxfId="5" priority="1" stopIfTrue="1" operator="equal">
      <formula>0</formula>
    </cfRule>
    <cfRule type="cellIs" dxfId="4" priority="2" operator="notEqual">
      <formula>0</formula>
    </cfRule>
  </conditionalFormatting>
  <conditionalFormatting sqref="E14:E15">
    <cfRule type="cellIs" dxfId="3" priority="300" operator="equal">
      <formula>+B14*(100%-E$10)</formula>
    </cfRule>
    <cfRule type="cellIs" dxfId="2" priority="301" stopIfTrue="1" operator="notEqual">
      <formula>+B14*(100%-E$10)</formula>
    </cfRule>
  </conditionalFormatting>
  <pageMargins left="0.7" right="0.7" top="0.75" bottom="0.75" header="0.3" footer="0.3"/>
  <pageSetup paperSize="9" orientation="portrait" horizontalDpi="4294967293" vertic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
  <sheetViews>
    <sheetView topLeftCell="A25" zoomScale="80" zoomScaleNormal="80" workbookViewId="0">
      <selection activeCell="M50" sqref="M50"/>
    </sheetView>
  </sheetViews>
  <sheetFormatPr defaultColWidth="9.140625" defaultRowHeight="15" x14ac:dyDescent="0.25"/>
  <cols>
    <col min="1" max="1" width="43.5703125" style="311" customWidth="1"/>
    <col min="2" max="2" width="11.42578125" style="311" customWidth="1"/>
    <col min="3" max="16384" width="9.140625" style="311"/>
  </cols>
  <sheetData>
    <row r="1" spans="1:21" ht="20.100000000000001" customHeight="1" x14ac:dyDescent="0.35">
      <c r="A1" s="1783" t="s">
        <v>153</v>
      </c>
      <c r="B1" s="1783"/>
      <c r="C1" s="1783"/>
      <c r="D1" s="1783"/>
      <c r="E1" s="1783"/>
      <c r="F1" s="1783"/>
      <c r="G1" s="1783"/>
      <c r="H1" s="1783"/>
      <c r="I1" s="1783"/>
      <c r="J1" s="1783"/>
      <c r="K1" s="1783"/>
      <c r="L1" s="1783"/>
      <c r="M1" s="1783"/>
      <c r="N1" s="1783"/>
      <c r="O1" s="1783"/>
      <c r="P1" s="1783"/>
      <c r="Q1" s="1783"/>
      <c r="R1" s="1783"/>
      <c r="S1" s="1783"/>
      <c r="T1" s="1783"/>
      <c r="U1" s="1783"/>
    </row>
    <row r="2" spans="1:21" ht="9" customHeight="1" x14ac:dyDescent="0.25"/>
    <row r="3" spans="1:21" ht="26.25" customHeight="1" x14ac:dyDescent="0.35">
      <c r="A3" s="1621" t="s">
        <v>1150</v>
      </c>
    </row>
    <row r="4" spans="1:21" s="333" customFormat="1" ht="18" customHeight="1" x14ac:dyDescent="0.25">
      <c r="A4" s="336" t="s">
        <v>312</v>
      </c>
      <c r="C4" s="337"/>
      <c r="D4" s="331"/>
      <c r="E4" s="331"/>
      <c r="F4" s="332"/>
    </row>
    <row r="5" spans="1:21" s="333" customFormat="1" ht="18" customHeight="1" x14ac:dyDescent="0.25">
      <c r="A5" s="338" t="s">
        <v>409</v>
      </c>
      <c r="B5" s="339"/>
      <c r="C5" s="337"/>
      <c r="D5" s="331"/>
      <c r="E5" s="331"/>
      <c r="F5" s="332"/>
    </row>
    <row r="6" spans="1:21" s="333" customFormat="1" ht="18" customHeight="1" x14ac:dyDescent="0.25">
      <c r="A6" s="336" t="s">
        <v>4</v>
      </c>
      <c r="C6" s="337"/>
      <c r="D6" s="331"/>
      <c r="E6" s="331"/>
      <c r="F6" s="332"/>
    </row>
    <row r="7" spans="1:21" s="333" customFormat="1" ht="18" customHeight="1" x14ac:dyDescent="0.25">
      <c r="A7" s="338" t="s">
        <v>6</v>
      </c>
      <c r="C7" s="337"/>
      <c r="D7" s="331"/>
      <c r="E7" s="331"/>
      <c r="F7" s="332"/>
    </row>
    <row r="8" spans="1:21" s="333" customFormat="1" ht="18" customHeight="1" x14ac:dyDescent="0.25">
      <c r="A8" s="338" t="s">
        <v>930</v>
      </c>
      <c r="C8" s="337"/>
      <c r="D8" s="1122" t="s">
        <v>931</v>
      </c>
      <c r="E8" s="331"/>
      <c r="F8" s="332"/>
      <c r="I8" s="1112" t="s">
        <v>883</v>
      </c>
    </row>
    <row r="9" spans="1:21" s="333" customFormat="1" ht="18" customHeight="1" x14ac:dyDescent="0.25">
      <c r="A9" s="505" t="s">
        <v>927</v>
      </c>
      <c r="C9" s="337"/>
      <c r="D9" s="331"/>
      <c r="E9" s="331"/>
      <c r="F9" s="1121" t="s">
        <v>926</v>
      </c>
      <c r="H9" s="344" t="s">
        <v>941</v>
      </c>
    </row>
    <row r="10" spans="1:21" s="333" customFormat="1" ht="18" customHeight="1" x14ac:dyDescent="0.25">
      <c r="A10" s="338" t="s">
        <v>671</v>
      </c>
      <c r="C10" s="337"/>
      <c r="D10" s="331"/>
      <c r="E10" s="331"/>
      <c r="F10" s="332"/>
    </row>
    <row r="11" spans="1:21" s="333" customFormat="1" ht="18" customHeight="1" x14ac:dyDescent="0.25">
      <c r="A11" s="338" t="s">
        <v>23</v>
      </c>
      <c r="C11" s="337"/>
      <c r="D11" s="331"/>
      <c r="E11" s="331"/>
      <c r="F11" s="332"/>
    </row>
    <row r="12" spans="1:21" s="333" customFormat="1" ht="18" customHeight="1" x14ac:dyDescent="0.25">
      <c r="A12" s="338" t="s">
        <v>24</v>
      </c>
      <c r="B12" s="339"/>
      <c r="C12" s="337"/>
      <c r="D12" s="331"/>
      <c r="E12" s="331"/>
      <c r="F12" s="332"/>
    </row>
    <row r="13" spans="1:21" s="333" customFormat="1" ht="18" customHeight="1" x14ac:dyDescent="0.25">
      <c r="A13" s="338" t="s">
        <v>447</v>
      </c>
      <c r="B13" s="339"/>
      <c r="C13" s="337"/>
      <c r="D13" s="331"/>
      <c r="E13" s="331"/>
      <c r="F13" s="332"/>
    </row>
    <row r="14" spans="1:21" s="333" customFormat="1" ht="18" customHeight="1" x14ac:dyDescent="0.25">
      <c r="A14" s="338" t="s">
        <v>81</v>
      </c>
      <c r="B14" s="339"/>
      <c r="C14" s="337"/>
      <c r="D14" s="331"/>
      <c r="E14" s="331"/>
      <c r="F14" s="332"/>
    </row>
    <row r="15" spans="1:21" s="333" customFormat="1" ht="18" customHeight="1" x14ac:dyDescent="0.25">
      <c r="A15" s="407" t="s">
        <v>375</v>
      </c>
      <c r="B15" s="344"/>
      <c r="C15" s="341"/>
      <c r="D15" s="331"/>
      <c r="E15" s="331"/>
      <c r="F15" s="332"/>
    </row>
    <row r="16" spans="1:21" s="333" customFormat="1" ht="18" customHeight="1" x14ac:dyDescent="0.25">
      <c r="A16" s="407" t="s">
        <v>376</v>
      </c>
      <c r="B16" s="344"/>
      <c r="C16" s="341"/>
      <c r="D16" s="331"/>
      <c r="E16" s="331"/>
      <c r="F16" s="332"/>
    </row>
    <row r="17" spans="1:13" s="333" customFormat="1" ht="18" customHeight="1" x14ac:dyDescent="0.25">
      <c r="A17" s="342" t="s">
        <v>44</v>
      </c>
      <c r="B17" s="340"/>
      <c r="C17" s="341"/>
      <c r="D17" s="331"/>
      <c r="E17" s="331"/>
      <c r="F17" s="332"/>
    </row>
    <row r="18" spans="1:13" s="333" customFormat="1" ht="18" customHeight="1" x14ac:dyDescent="0.25">
      <c r="A18" s="339" t="s">
        <v>59</v>
      </c>
      <c r="B18" s="340"/>
      <c r="C18" s="341"/>
      <c r="D18" s="331"/>
      <c r="E18" s="331"/>
      <c r="F18" s="332"/>
    </row>
    <row r="19" spans="1:13" s="333" customFormat="1" ht="18" customHeight="1" x14ac:dyDescent="0.25">
      <c r="A19" s="339" t="s">
        <v>86</v>
      </c>
      <c r="B19" s="340"/>
      <c r="C19" s="341"/>
      <c r="D19" s="343" t="s">
        <v>80</v>
      </c>
      <c r="E19" s="331"/>
      <c r="F19" s="332"/>
    </row>
    <row r="20" spans="1:13" s="333" customFormat="1" ht="18" customHeight="1" x14ac:dyDescent="0.25">
      <c r="A20" s="338" t="s">
        <v>151</v>
      </c>
      <c r="B20" s="340"/>
      <c r="C20" s="341"/>
      <c r="D20" s="331"/>
      <c r="E20" s="331"/>
      <c r="F20" s="332"/>
    </row>
    <row r="21" spans="1:13" s="333" customFormat="1" ht="18" customHeight="1" x14ac:dyDescent="0.25">
      <c r="A21" s="408" t="s">
        <v>173</v>
      </c>
      <c r="B21" s="340"/>
      <c r="C21" s="341"/>
      <c r="D21" s="331"/>
      <c r="E21" s="331"/>
      <c r="F21" s="332"/>
    </row>
    <row r="22" spans="1:13" s="333" customFormat="1" ht="18" customHeight="1" x14ac:dyDescent="0.25">
      <c r="A22" s="505" t="s">
        <v>178</v>
      </c>
    </row>
    <row r="23" spans="1:13" s="333" customFormat="1" ht="18" customHeight="1" x14ac:dyDescent="0.25">
      <c r="A23" s="973" t="s">
        <v>695</v>
      </c>
      <c r="B23" s="974"/>
      <c r="C23" s="974"/>
      <c r="D23" s="974"/>
    </row>
    <row r="24" spans="1:13" s="333" customFormat="1" ht="18" customHeight="1" x14ac:dyDescent="0.25">
      <c r="A24" s="336" t="s">
        <v>185</v>
      </c>
      <c r="M24" s="333" t="s">
        <v>637</v>
      </c>
    </row>
    <row r="25" spans="1:13" s="333" customFormat="1" ht="18" customHeight="1" x14ac:dyDescent="0.25">
      <c r="A25" s="338" t="s">
        <v>189</v>
      </c>
    </row>
    <row r="26" spans="1:13" s="333" customFormat="1" ht="18" customHeight="1" x14ac:dyDescent="0.25">
      <c r="A26" s="505" t="s">
        <v>192</v>
      </c>
    </row>
    <row r="27" spans="1:13" s="333" customFormat="1" ht="18" customHeight="1" x14ac:dyDescent="0.25">
      <c r="A27" s="338" t="s">
        <v>193</v>
      </c>
    </row>
    <row r="28" spans="1:13" s="333" customFormat="1" ht="18" customHeight="1" x14ac:dyDescent="0.25">
      <c r="A28" s="338" t="s">
        <v>196</v>
      </c>
    </row>
    <row r="29" spans="1:13" s="333" customFormat="1" ht="18" customHeight="1" x14ac:dyDescent="0.25">
      <c r="A29" s="338" t="s">
        <v>205</v>
      </c>
    </row>
    <row r="30" spans="1:13" s="333" customFormat="1" ht="18" customHeight="1" x14ac:dyDescent="0.25">
      <c r="A30" s="407" t="s">
        <v>209</v>
      </c>
    </row>
    <row r="31" spans="1:13" s="333" customFormat="1" ht="18" customHeight="1" x14ac:dyDescent="0.25">
      <c r="A31" s="338" t="s">
        <v>211</v>
      </c>
    </row>
    <row r="32" spans="1:13" s="333" customFormat="1" ht="18" customHeight="1" x14ac:dyDescent="0.25">
      <c r="A32" s="505" t="s">
        <v>382</v>
      </c>
    </row>
    <row r="33" spans="1:28" ht="15.75" x14ac:dyDescent="0.25">
      <c r="A33" s="573" t="s">
        <v>391</v>
      </c>
      <c r="B33" s="552"/>
      <c r="C33" s="552"/>
      <c r="D33" s="552"/>
      <c r="E33" s="552"/>
      <c r="F33" s="552"/>
      <c r="G33" s="552"/>
      <c r="H33" s="552"/>
      <c r="I33" s="552"/>
      <c r="J33" s="552"/>
      <c r="K33" s="552"/>
      <c r="L33" s="552"/>
      <c r="M33" s="552"/>
      <c r="N33" s="552"/>
      <c r="O33" s="552"/>
      <c r="P33" s="552"/>
      <c r="AB33" s="309"/>
    </row>
    <row r="34" spans="1:28" ht="15.75" x14ac:dyDescent="0.25">
      <c r="A34" s="574" t="s">
        <v>657</v>
      </c>
      <c r="B34" s="552"/>
      <c r="C34" s="552"/>
      <c r="D34" s="552"/>
      <c r="E34" s="552"/>
      <c r="F34" s="552"/>
      <c r="G34" s="552"/>
      <c r="H34" s="552"/>
      <c r="I34" s="552"/>
      <c r="J34" s="552"/>
      <c r="K34" s="552"/>
      <c r="L34" s="552"/>
      <c r="M34" s="552"/>
      <c r="N34" s="552"/>
      <c r="O34" s="552"/>
      <c r="P34" s="552"/>
      <c r="AB34" s="309"/>
    </row>
    <row r="35" spans="1:28" s="738" customFormat="1" ht="15.75" x14ac:dyDescent="0.25">
      <c r="A35" s="737" t="s">
        <v>571</v>
      </c>
      <c r="B35" s="318"/>
      <c r="C35" s="318"/>
      <c r="D35" s="318"/>
      <c r="E35" s="318"/>
      <c r="F35" s="318"/>
      <c r="G35" s="318"/>
      <c r="H35" s="318"/>
      <c r="I35" s="318"/>
      <c r="J35" s="318"/>
      <c r="K35" s="318"/>
      <c r="L35" s="318"/>
      <c r="M35" s="318"/>
      <c r="N35" s="318"/>
      <c r="O35" s="318"/>
      <c r="P35" s="318"/>
      <c r="AB35" s="739"/>
    </row>
    <row r="36" spans="1:28" ht="15.75" x14ac:dyDescent="0.25">
      <c r="A36" s="606" t="s">
        <v>420</v>
      </c>
      <c r="B36" s="575"/>
      <c r="C36" s="575"/>
      <c r="D36" s="575"/>
      <c r="E36" s="576"/>
      <c r="F36" s="567"/>
      <c r="G36" s="567"/>
      <c r="H36" s="577"/>
      <c r="I36" s="577"/>
      <c r="J36" s="555"/>
      <c r="K36" s="555"/>
      <c r="L36" s="555"/>
      <c r="M36" s="578"/>
      <c r="N36" s="578"/>
      <c r="O36" s="578"/>
      <c r="P36" s="555"/>
      <c r="Q36" s="550"/>
      <c r="R36" s="550"/>
      <c r="S36" s="550"/>
      <c r="T36" s="579"/>
      <c r="U36" s="580"/>
      <c r="V36" s="580"/>
      <c r="W36" s="580"/>
      <c r="AB36" s="309"/>
    </row>
    <row r="37" spans="1:28" ht="15.75" x14ac:dyDescent="0.25">
      <c r="A37" s="606" t="s">
        <v>429</v>
      </c>
      <c r="B37" s="575"/>
      <c r="C37" s="575"/>
      <c r="D37" s="575"/>
      <c r="E37" s="576"/>
      <c r="F37" s="567"/>
      <c r="G37" s="567"/>
      <c r="H37" s="577"/>
      <c r="I37" s="577"/>
      <c r="J37" s="555"/>
      <c r="K37" s="555"/>
      <c r="L37" s="555"/>
      <c r="M37" s="578"/>
      <c r="N37" s="578"/>
      <c r="O37" s="578"/>
      <c r="P37" s="555"/>
      <c r="Q37" s="550"/>
      <c r="R37" s="550"/>
      <c r="S37" s="550"/>
      <c r="T37" s="579"/>
      <c r="U37" s="580"/>
      <c r="V37" s="580"/>
      <c r="W37" s="580"/>
      <c r="AB37" s="309"/>
    </row>
    <row r="38" spans="1:28" x14ac:dyDescent="0.25">
      <c r="A38" s="951" t="s">
        <v>305</v>
      </c>
      <c r="B38" s="954" t="s">
        <v>303</v>
      </c>
      <c r="C38" s="954" t="s">
        <v>301</v>
      </c>
      <c r="D38" s="954" t="s">
        <v>308</v>
      </c>
      <c r="E38" s="955" t="s">
        <v>368</v>
      </c>
      <c r="F38" s="310"/>
    </row>
    <row r="39" spans="1:28" x14ac:dyDescent="0.25">
      <c r="A39" s="941" t="s">
        <v>302</v>
      </c>
      <c r="B39" s="942">
        <v>3950000</v>
      </c>
      <c r="C39" s="943">
        <v>0.72</v>
      </c>
      <c r="D39" s="944">
        <f>B39*1000/C39/1000000000</f>
        <v>5.4861111111111116</v>
      </c>
      <c r="E39" s="945">
        <f>+D39/D41</f>
        <v>0.38845181230682779</v>
      </c>
      <c r="F39" s="310"/>
    </row>
    <row r="40" spans="1:28" x14ac:dyDescent="0.25">
      <c r="A40" s="946" t="s">
        <v>304</v>
      </c>
      <c r="B40" s="947">
        <f>7255*1000</f>
        <v>7255000</v>
      </c>
      <c r="C40" s="948">
        <v>0.84</v>
      </c>
      <c r="D40" s="949">
        <f>B40*1000/C40/1000000000</f>
        <v>8.6369047619047628</v>
      </c>
      <c r="E40" s="950">
        <f>+D40/D41</f>
        <v>0.61154818769317232</v>
      </c>
      <c r="F40" s="310"/>
    </row>
    <row r="41" spans="1:28" x14ac:dyDescent="0.25">
      <c r="A41" s="951" t="s">
        <v>310</v>
      </c>
      <c r="B41" s="215"/>
      <c r="C41" s="215"/>
      <c r="D41" s="952">
        <f>SUM(D39:D40)</f>
        <v>14.123015873015873</v>
      </c>
      <c r="E41" s="953"/>
      <c r="F41" s="310"/>
    </row>
    <row r="42" spans="1:28" x14ac:dyDescent="0.25">
      <c r="A42" s="559" t="s">
        <v>454</v>
      </c>
      <c r="B42" s="632"/>
      <c r="C42" s="632"/>
      <c r="D42" s="633"/>
      <c r="E42" s="310"/>
      <c r="F42" s="310"/>
      <c r="G42" s="310"/>
      <c r="H42" s="310"/>
      <c r="I42" s="310"/>
      <c r="J42" s="310"/>
      <c r="K42" s="310"/>
      <c r="L42" s="310"/>
      <c r="M42" s="310"/>
      <c r="N42" s="310"/>
      <c r="O42" s="310"/>
    </row>
    <row r="43" spans="1:28" x14ac:dyDescent="0.25">
      <c r="A43" s="841" t="s">
        <v>615</v>
      </c>
      <c r="B43" s="310"/>
      <c r="C43" s="310"/>
      <c r="D43" s="633"/>
      <c r="E43" s="310"/>
      <c r="F43" s="310"/>
      <c r="G43" s="65"/>
      <c r="H43" s="310"/>
      <c r="I43" s="310"/>
      <c r="J43" s="310"/>
      <c r="K43" s="310"/>
      <c r="L43" s="310"/>
      <c r="M43" s="310"/>
      <c r="N43" s="310"/>
      <c r="O43" s="310"/>
    </row>
    <row r="44" spans="1:28" s="333" customFormat="1" ht="18" customHeight="1" x14ac:dyDescent="0.25">
      <c r="A44" s="842" t="s">
        <v>620</v>
      </c>
      <c r="B44" s="843"/>
      <c r="C44" s="843"/>
      <c r="D44" s="843"/>
      <c r="E44" s="843"/>
      <c r="F44" s="843"/>
      <c r="G44" s="843"/>
      <c r="H44" s="843"/>
      <c r="I44" s="844"/>
      <c r="J44" s="843"/>
      <c r="K44" s="843"/>
      <c r="L44" s="843"/>
      <c r="M44" s="843"/>
      <c r="N44" s="843"/>
      <c r="O44" s="843"/>
    </row>
    <row r="45" spans="1:28" s="558" customFormat="1" ht="18" customHeight="1" x14ac:dyDescent="0.25">
      <c r="A45" s="842" t="s">
        <v>658</v>
      </c>
      <c r="I45" s="859"/>
    </row>
    <row r="46" spans="1:28" s="333" customFormat="1" ht="18" customHeight="1" x14ac:dyDescent="0.25">
      <c r="A46" s="505" t="s">
        <v>1068</v>
      </c>
      <c r="B46" s="843"/>
      <c r="C46" s="843"/>
      <c r="D46" s="843"/>
      <c r="E46" s="843"/>
      <c r="F46" s="843"/>
      <c r="G46" s="843"/>
      <c r="H46" s="843"/>
      <c r="I46" s="843"/>
      <c r="J46" s="843"/>
      <c r="K46" s="843"/>
      <c r="L46" s="843"/>
      <c r="M46" s="843"/>
      <c r="N46" s="843"/>
      <c r="O46" s="843"/>
    </row>
    <row r="47" spans="1:28" s="558" customFormat="1" ht="18" customHeight="1" x14ac:dyDescent="0.25">
      <c r="A47" s="842" t="s">
        <v>1109</v>
      </c>
      <c r="I47" s="859"/>
    </row>
    <row r="48" spans="1:28" s="558" customFormat="1" ht="18" customHeight="1" x14ac:dyDescent="0.25">
      <c r="A48" s="842"/>
      <c r="I48" s="859"/>
    </row>
    <row r="49" spans="1:15" s="333" customFormat="1" ht="18" customHeight="1" x14ac:dyDescent="0.25">
      <c r="A49" s="843"/>
      <c r="B49" s="843"/>
      <c r="C49" s="843"/>
      <c r="D49" s="843"/>
      <c r="E49" s="843"/>
      <c r="F49" s="843"/>
      <c r="G49" s="843"/>
      <c r="H49" s="843"/>
      <c r="I49" s="843"/>
      <c r="J49" s="843"/>
      <c r="K49" s="843"/>
      <c r="L49" s="843"/>
      <c r="M49" s="843"/>
      <c r="N49" s="843"/>
      <c r="O49" s="843"/>
    </row>
    <row r="50" spans="1:15" s="333" customFormat="1" ht="18" customHeight="1" x14ac:dyDescent="0.25"/>
    <row r="51" spans="1:15" s="333" customFormat="1" ht="18" customHeight="1" x14ac:dyDescent="0.25"/>
    <row r="86" spans="1:6" x14ac:dyDescent="0.25">
      <c r="A86" s="615"/>
      <c r="B86" s="310"/>
      <c r="C86" s="310"/>
      <c r="D86" s="616"/>
      <c r="E86" s="310"/>
      <c r="F86" s="310"/>
    </row>
    <row r="91" spans="1:6" x14ac:dyDescent="0.25">
      <c r="A91" s="310"/>
      <c r="B91" s="310"/>
      <c r="C91" s="617"/>
      <c r="D91" s="310"/>
      <c r="E91" s="310"/>
      <c r="F91" s="310"/>
    </row>
    <row r="92" spans="1:6" x14ac:dyDescent="0.25">
      <c r="F92" s="618"/>
    </row>
    <row r="93" spans="1:6" x14ac:dyDescent="0.25">
      <c r="F93" s="618"/>
    </row>
    <row r="94" spans="1:6" x14ac:dyDescent="0.25">
      <c r="F94" s="310"/>
    </row>
    <row r="95" spans="1:6" x14ac:dyDescent="0.25">
      <c r="F95" s="310"/>
    </row>
    <row r="96" spans="1:6" x14ac:dyDescent="0.25">
      <c r="A96" s="310"/>
      <c r="B96" s="310"/>
      <c r="C96" s="310"/>
      <c r="D96" s="310"/>
      <c r="E96" s="310"/>
      <c r="F96" s="310"/>
    </row>
  </sheetData>
  <mergeCells count="1">
    <mergeCell ref="A1:U1"/>
  </mergeCells>
  <hyperlinks>
    <hyperlink ref="D19" r:id="rId1"/>
    <hyperlink ref="A30" r:id="rId2"/>
    <hyperlink ref="A15" r:id="rId3"/>
    <hyperlink ref="A16" r:id="rId4"/>
    <hyperlink ref="A21" r:id="rId5"/>
    <hyperlink ref="A32" r:id="rId6"/>
    <hyperlink ref="A43" r:id="rId7"/>
    <hyperlink ref="A44" r:id="rId8" display="(*37) Ministeriele regeling gepubliceerd in Staatscourant 3 juli 2015, Nr 18526."/>
    <hyperlink ref="A23" r:id="rId9"/>
    <hyperlink ref="A22" r:id="rId10"/>
    <hyperlink ref="F9" r:id="rId11"/>
    <hyperlink ref="A9" r:id="rId12"/>
    <hyperlink ref="D8" r:id="rId13" display="Artikel energieoverheid.nl"/>
    <hyperlink ref="I8" r:id="rId14"/>
    <hyperlink ref="H9" r:id="rId15"/>
    <hyperlink ref="A46" r:id="rId16"/>
    <hyperlink ref="A26" r:id="rId17"/>
  </hyperlinks>
  <pageMargins left="0.7" right="0.7" top="0.75" bottom="0.75" header="0.3" footer="0.3"/>
  <pageSetup paperSize="9" orientation="portrait" r:id="rId18"/>
  <drawing r:id="rId1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18</vt:i4>
      </vt:variant>
      <vt:variant>
        <vt:lpstr>Benoemde bereiken</vt:lpstr>
      </vt:variant>
      <vt:variant>
        <vt:i4>6</vt:i4>
      </vt:variant>
    </vt:vector>
  </HeadingPairs>
  <TitlesOfParts>
    <vt:vector size="24" baseType="lpstr">
      <vt:lpstr>Samenvatting</vt:lpstr>
      <vt:lpstr>Uitgangspunten</vt:lpstr>
      <vt:lpstr>Inleiding</vt:lpstr>
      <vt:lpstr>Lijst maatregelen EA</vt:lpstr>
      <vt:lpstr>Resultaatmatrix</vt:lpstr>
      <vt:lpstr>Resultaatgrafiek</vt:lpstr>
      <vt:lpstr>Vergelijk AlgRek</vt:lpstr>
      <vt:lpstr>%Hernieuwbaar</vt:lpstr>
      <vt:lpstr>Refs</vt:lpstr>
      <vt:lpstr>Wind</vt:lpstr>
      <vt:lpstr> PV</vt:lpstr>
      <vt:lpstr>Warmte</vt:lpstr>
      <vt:lpstr>Biomassa</vt:lpstr>
      <vt:lpstr>Vervoer</vt:lpstr>
      <vt:lpstr>Energiebesparing</vt:lpstr>
      <vt:lpstr>SDE&amp;MEP tm 2012</vt:lpstr>
      <vt:lpstr>Innovatiesubsidies</vt:lpstr>
      <vt:lpstr>WKK effect</vt:lpstr>
      <vt:lpstr>Inleiding!Afdrukbereik</vt:lpstr>
      <vt:lpstr>'Lijst maatregelen EA'!Afdrukbereik</vt:lpstr>
      <vt:lpstr>Resultaatgrafiek!Afdrukbereik</vt:lpstr>
      <vt:lpstr>Resultaatmatrix!Afdrukbereik</vt:lpstr>
      <vt:lpstr>Samenvatting!Afdrukbereik</vt:lpstr>
      <vt:lpstr>Uitgangspunten!Afdrukbereik</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2017-02-17T10:24:47Z</dcterms:created>
  <dcterms:modified xsi:type="dcterms:W3CDTF">2019-01-14T04:36:30Z</dcterms:modified>
</cp:coreProperties>
</file>